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8_{4084DDBB-144D-481B-B3A2-861F5F5F38E6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交点(円-円)" sheetId="9" r:id="rId1"/>
  </sheets>
  <definedNames>
    <definedName name="_xlnm.Print_Area" localSheetId="0">'交点(円-円)'!$B$2:$L$45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A4" i="9" l="1"/>
  <c r="AA6" i="9"/>
  <c r="AE5" i="9" s="1"/>
  <c r="A6" i="9" s="1"/>
  <c r="AB6" i="9"/>
  <c r="AC6" i="9"/>
  <c r="AD6" i="9"/>
  <c r="AE6" i="9" s="1"/>
  <c r="AF11" i="9"/>
  <c r="AH11" i="9" s="1"/>
  <c r="AI11" i="9" s="1"/>
  <c r="AG11" i="9"/>
  <c r="AA12" i="9"/>
  <c r="AE11" i="9" s="1"/>
  <c r="AB12" i="9"/>
  <c r="AC12" i="9"/>
  <c r="AE14" i="9"/>
  <c r="AF14" i="9"/>
  <c r="AM14" i="9" s="1"/>
  <c r="AG14" i="9"/>
  <c r="AA15" i="9"/>
  <c r="AB15" i="9"/>
  <c r="AC15" i="9"/>
  <c r="AF17" i="9"/>
  <c r="AH17" i="9" s="1"/>
  <c r="AI17" i="9" s="1"/>
  <c r="AG17" i="9"/>
  <c r="AA18" i="9"/>
  <c r="AB18" i="9"/>
  <c r="AE17" i="9" s="1"/>
  <c r="AC18" i="9"/>
  <c r="AF20" i="9"/>
  <c r="AH20" i="9" s="1"/>
  <c r="AI20" i="9" s="1"/>
  <c r="AG20" i="9"/>
  <c r="AA21" i="9"/>
  <c r="AB21" i="9"/>
  <c r="AC21" i="9"/>
  <c r="AE20" i="9" s="1"/>
  <c r="AF23" i="9"/>
  <c r="AG23" i="9"/>
  <c r="AH23" i="9"/>
  <c r="AI23" i="9" s="1"/>
  <c r="AM23" i="9"/>
  <c r="AO23" i="9" s="1"/>
  <c r="AN23" i="9"/>
  <c r="AA24" i="9"/>
  <c r="AE23" i="9" s="1"/>
  <c r="AB24" i="9"/>
  <c r="AC24" i="9"/>
  <c r="AM25" i="9"/>
  <c r="AE26" i="9"/>
  <c r="AF26" i="9"/>
  <c r="AH26" i="9" s="1"/>
  <c r="AI26" i="9" s="1"/>
  <c r="AG26" i="9"/>
  <c r="AA27" i="9"/>
  <c r="AB27" i="9"/>
  <c r="AC27" i="9"/>
  <c r="AN14" i="9" l="1"/>
  <c r="AO16" i="9"/>
  <c r="AO14" i="9"/>
  <c r="AN16" i="9"/>
  <c r="AM16" i="9"/>
  <c r="AJ20" i="9"/>
  <c r="AK20" i="9"/>
  <c r="AL20" i="9"/>
  <c r="AP23" i="9"/>
  <c r="AT23" i="9" s="1"/>
  <c r="AG25" i="9" s="1"/>
  <c r="AJ26" i="9"/>
  <c r="AK26" i="9" s="1"/>
  <c r="AL26" i="9" s="1"/>
  <c r="AJ11" i="9"/>
  <c r="AJ17" i="9"/>
  <c r="AK17" i="9" s="1"/>
  <c r="AJ23" i="9"/>
  <c r="AK23" i="9" s="1"/>
  <c r="AM17" i="9"/>
  <c r="AH14" i="9"/>
  <c r="AI14" i="9" s="1"/>
  <c r="AM11" i="9"/>
  <c r="AO25" i="9"/>
  <c r="AM20" i="9"/>
  <c r="AM26" i="9"/>
  <c r="AN25" i="9"/>
  <c r="AD24" i="9" s="1"/>
  <c r="AL11" i="9" l="1"/>
  <c r="AE24" i="9"/>
  <c r="A23" i="9"/>
  <c r="AP14" i="9"/>
  <c r="AR14" i="9" s="1"/>
  <c r="AG15" i="9" s="1"/>
  <c r="AN28" i="9"/>
  <c r="AO28" i="9"/>
  <c r="AO26" i="9"/>
  <c r="AN26" i="9"/>
  <c r="AP26" i="9" s="1"/>
  <c r="AM28" i="9"/>
  <c r="AD27" i="9" s="1"/>
  <c r="AQ23" i="9"/>
  <c r="AF24" i="9" s="1"/>
  <c r="AH24" i="9" s="1"/>
  <c r="AI24" i="9" s="1"/>
  <c r="AL17" i="9"/>
  <c r="AR23" i="9"/>
  <c r="AG24" i="9" s="1"/>
  <c r="AS23" i="9"/>
  <c r="AM22" i="9"/>
  <c r="AN22" i="9"/>
  <c r="AO20" i="9"/>
  <c r="AN20" i="9"/>
  <c r="AP20" i="9" s="1"/>
  <c r="AO22" i="9"/>
  <c r="AL23" i="9"/>
  <c r="AM13" i="9"/>
  <c r="AN13" i="9"/>
  <c r="AO13" i="9"/>
  <c r="AN11" i="9"/>
  <c r="AO11" i="9"/>
  <c r="AJ14" i="9"/>
  <c r="AK14" i="9" s="1"/>
  <c r="AS14" i="9"/>
  <c r="AQ14" i="9"/>
  <c r="AF15" i="9" s="1"/>
  <c r="AT14" i="9"/>
  <c r="AG16" i="9" s="1"/>
  <c r="AK11" i="9"/>
  <c r="AN17" i="9"/>
  <c r="AO17" i="9"/>
  <c r="AM19" i="9"/>
  <c r="AN19" i="9"/>
  <c r="AO19" i="9"/>
  <c r="AD15" i="9"/>
  <c r="AJ24" i="9" l="1"/>
  <c r="AK24" i="9"/>
  <c r="AL24" i="9"/>
  <c r="AP17" i="9"/>
  <c r="AR26" i="9"/>
  <c r="AG27" i="9" s="1"/>
  <c r="AS26" i="9"/>
  <c r="AT26" i="9"/>
  <c r="AG28" i="9" s="1"/>
  <c r="AQ26" i="9"/>
  <c r="AF27" i="9" s="1"/>
  <c r="AH27" i="9" s="1"/>
  <c r="AI27" i="9" s="1"/>
  <c r="AE27" i="9"/>
  <c r="A26" i="9"/>
  <c r="AD12" i="9"/>
  <c r="AP11" i="9"/>
  <c r="AU14" i="9"/>
  <c r="AF16" i="9"/>
  <c r="AH16" i="9" s="1"/>
  <c r="AI16" i="9" s="1"/>
  <c r="AU23" i="9"/>
  <c r="AF25" i="9"/>
  <c r="AH25" i="9" s="1"/>
  <c r="AI25" i="9" s="1"/>
  <c r="AD18" i="9"/>
  <c r="AH15" i="9"/>
  <c r="AI15" i="9" s="1"/>
  <c r="AT20" i="9"/>
  <c r="AG22" i="9" s="1"/>
  <c r="AQ20" i="9"/>
  <c r="AF21" i="9" s="1"/>
  <c r="AS20" i="9"/>
  <c r="AR20" i="9"/>
  <c r="AG21" i="9" s="1"/>
  <c r="AL14" i="9"/>
  <c r="AE15" i="9"/>
  <c r="A14" i="9"/>
  <c r="AD21" i="9"/>
  <c r="G23" i="9"/>
  <c r="J24" i="9"/>
  <c r="H23" i="9"/>
  <c r="K24" i="9"/>
  <c r="I23" i="9"/>
  <c r="G25" i="9"/>
  <c r="L23" i="9"/>
  <c r="H25" i="9"/>
  <c r="G24" i="9"/>
  <c r="I25" i="9"/>
  <c r="J25" i="9"/>
  <c r="K25" i="9"/>
  <c r="L25" i="9"/>
  <c r="I24" i="9"/>
  <c r="H24" i="9"/>
  <c r="AE12" i="9" l="1"/>
  <c r="A11" i="9"/>
  <c r="J28" i="9"/>
  <c r="K28" i="9"/>
  <c r="L28" i="9"/>
  <c r="I26" i="9"/>
  <c r="I28" i="9"/>
  <c r="G27" i="9"/>
  <c r="H27" i="9"/>
  <c r="I27" i="9"/>
  <c r="G26" i="9"/>
  <c r="J27" i="9"/>
  <c r="H26" i="9"/>
  <c r="K27" i="9"/>
  <c r="G28" i="9"/>
  <c r="L26" i="9"/>
  <c r="H28" i="9"/>
  <c r="AH21" i="9"/>
  <c r="AI21" i="9" s="1"/>
  <c r="AJ27" i="9"/>
  <c r="AK27" i="9" s="1"/>
  <c r="AJ15" i="9"/>
  <c r="G15" i="9" s="1"/>
  <c r="AK15" i="9"/>
  <c r="H15" i="9" s="1"/>
  <c r="AU26" i="9"/>
  <c r="AF28" i="9"/>
  <c r="AH28" i="9" s="1"/>
  <c r="AI28" i="9" s="1"/>
  <c r="AS11" i="9"/>
  <c r="AT11" i="9"/>
  <c r="AG13" i="9" s="1"/>
  <c r="AR11" i="9"/>
  <c r="AG12" i="9" s="1"/>
  <c r="AQ11" i="9"/>
  <c r="AF12" i="9" s="1"/>
  <c r="AH12" i="9" s="1"/>
  <c r="AI12" i="9" s="1"/>
  <c r="AU20" i="9"/>
  <c r="AF22" i="9"/>
  <c r="AH22" i="9" s="1"/>
  <c r="AI22" i="9" s="1"/>
  <c r="AE18" i="9"/>
  <c r="A17" i="9"/>
  <c r="AJ25" i="9"/>
  <c r="AK25" i="9"/>
  <c r="AL25" i="9" s="1"/>
  <c r="AS17" i="9"/>
  <c r="AT17" i="9"/>
  <c r="AG19" i="9" s="1"/>
  <c r="AR17" i="9"/>
  <c r="AG18" i="9" s="1"/>
  <c r="AQ17" i="9"/>
  <c r="AF18" i="9" s="1"/>
  <c r="AH18" i="9" s="1"/>
  <c r="AI18" i="9" s="1"/>
  <c r="G14" i="9"/>
  <c r="J15" i="9"/>
  <c r="H14" i="9"/>
  <c r="K15" i="9"/>
  <c r="I14" i="9"/>
  <c r="K16" i="9"/>
  <c r="L14" i="9"/>
  <c r="J16" i="9"/>
  <c r="L16" i="9"/>
  <c r="A20" i="9"/>
  <c r="AE21" i="9"/>
  <c r="AJ16" i="9"/>
  <c r="G16" i="9" s="1"/>
  <c r="AK16" i="9"/>
  <c r="H16" i="9" s="1"/>
  <c r="AL16" i="9"/>
  <c r="I16" i="9" s="1"/>
  <c r="AL15" i="9" l="1"/>
  <c r="I15" i="9" s="1"/>
  <c r="AJ21" i="9"/>
  <c r="AK21" i="9" s="1"/>
  <c r="H17" i="9"/>
  <c r="K18" i="9"/>
  <c r="I17" i="9"/>
  <c r="G19" i="9"/>
  <c r="L17" i="9"/>
  <c r="H19" i="9"/>
  <c r="I19" i="9"/>
  <c r="J19" i="9"/>
  <c r="K19" i="9"/>
  <c r="L19" i="9"/>
  <c r="G18" i="9"/>
  <c r="H18" i="9"/>
  <c r="I18" i="9"/>
  <c r="G17" i="9"/>
  <c r="J18" i="9"/>
  <c r="L11" i="9"/>
  <c r="J13" i="9"/>
  <c r="K13" i="9"/>
  <c r="L13" i="9"/>
  <c r="K12" i="9"/>
  <c r="G11" i="9"/>
  <c r="J12" i="9"/>
  <c r="H11" i="9"/>
  <c r="G12" i="9"/>
  <c r="I11" i="9"/>
  <c r="AL27" i="9"/>
  <c r="AJ18" i="9"/>
  <c r="AL18" i="9" s="1"/>
  <c r="AK18" i="9"/>
  <c r="AU11" i="9"/>
  <c r="AF13" i="9"/>
  <c r="AH13" i="9" s="1"/>
  <c r="AI13" i="9" s="1"/>
  <c r="L22" i="9"/>
  <c r="G21" i="9"/>
  <c r="H21" i="9"/>
  <c r="K22" i="9"/>
  <c r="I21" i="9"/>
  <c r="H22" i="9"/>
  <c r="G20" i="9"/>
  <c r="J21" i="9"/>
  <c r="G22" i="9"/>
  <c r="H20" i="9"/>
  <c r="K21" i="9"/>
  <c r="I20" i="9"/>
  <c r="L20" i="9"/>
  <c r="I22" i="9"/>
  <c r="J22" i="9"/>
  <c r="AJ22" i="9"/>
  <c r="AJ12" i="9"/>
  <c r="AK12" i="9" s="1"/>
  <c r="AU17" i="9"/>
  <c r="AF19" i="9"/>
  <c r="AH19" i="9" s="1"/>
  <c r="AI19" i="9" s="1"/>
  <c r="AJ28" i="9"/>
  <c r="AL28" i="9" s="1"/>
  <c r="AK28" i="9"/>
  <c r="H12" i="9" l="1"/>
  <c r="AL12" i="9"/>
  <c r="I12" i="9" s="1"/>
  <c r="AK22" i="9"/>
  <c r="AL22" i="9" s="1"/>
  <c r="AJ13" i="9"/>
  <c r="G13" i="9" s="1"/>
  <c r="AK13" i="9"/>
  <c r="H13" i="9" s="1"/>
  <c r="AL21" i="9"/>
  <c r="AJ19" i="9"/>
  <c r="AK19" i="9" s="1"/>
  <c r="AL19" i="9" l="1"/>
  <c r="AL13" i="9"/>
  <c r="I13" i="9" s="1"/>
</calcChain>
</file>

<file path=xl/comments1.xml><?xml version="1.0" encoding="utf-8"?>
<comments xmlns="http://schemas.openxmlformats.org/spreadsheetml/2006/main">
  <authors>
    <author>asakaze</author>
  </authors>
  <commentList>
    <comment ref="F6" authorId="0" shapeId="0">
      <text>
        <r>
          <rPr>
            <sz val="10"/>
            <color indexed="81"/>
            <rFont val="ＭＳ Ｐゴシック"/>
            <family val="3"/>
            <charset val="128"/>
          </rPr>
          <t>円Ａの中心座標、半径を入力します。</t>
        </r>
      </text>
    </comment>
    <comment ref="A11" authorId="0" shapeId="0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</t>
        </r>
        <r>
          <rPr>
            <sz val="10"/>
            <color indexed="81"/>
            <rFont val="ＭＳ Ｐゴシック"/>
            <family val="3"/>
            <charset val="128"/>
          </rPr>
          <t>」を表示します。</t>
        </r>
      </text>
    </comment>
    <comment ref="F11" authorId="0" shapeId="0">
      <text>
        <r>
          <rPr>
            <sz val="10"/>
            <color indexed="81"/>
            <rFont val="ＭＳ Ｐゴシック"/>
            <family val="3"/>
            <charset val="128"/>
          </rPr>
          <t>円Ａと交差する円Ｂの中心座標、半径を入力します。</t>
        </r>
      </text>
    </comment>
    <comment ref="I11" authorId="0" shapeId="0">
      <text>
        <r>
          <rPr>
            <sz val="10"/>
            <color indexed="81"/>
            <rFont val="ＭＳ Ｐゴシック"/>
            <family val="3"/>
            <charset val="128"/>
          </rPr>
          <t>円Ａの中心から円Ｂの中心までの方向角です。</t>
        </r>
      </text>
    </comment>
    <comment ref="L11" authorId="0" shapeId="0">
      <text>
        <r>
          <rPr>
            <sz val="10"/>
            <color indexed="81"/>
            <rFont val="ＭＳ Ｐゴシック"/>
            <family val="3"/>
            <charset val="128"/>
          </rPr>
          <t>円Ａの中心から円Ｂの中心までの距離です。</t>
        </r>
      </text>
    </comment>
    <comment ref="L13" authorId="0" shapeId="0">
      <text>
        <r>
          <rPr>
            <sz val="10"/>
            <color indexed="81"/>
            <rFont val="ＭＳ Ｐゴシック"/>
            <family val="3"/>
            <charset val="128"/>
          </rPr>
          <t>交点間（交点１、交点２）の距離です。</t>
        </r>
      </text>
    </comment>
  </commentList>
</comments>
</file>

<file path=xl/sharedStrings.xml><?xml version="1.0" encoding="utf-8"?>
<sst xmlns="http://schemas.openxmlformats.org/spreadsheetml/2006/main" count="139" uniqueCount="55">
  <si>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</si>
  <si>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</si>
  <si>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距　離</t>
    <rPh sb="0" eb="1">
      <t>ヘダ</t>
    </rPh>
    <rPh sb="2" eb="3">
      <t>リ</t>
    </rPh>
    <phoneticPr fontId="1"/>
  </si>
  <si>
    <t>件　名</t>
    <rPh sb="0" eb="1">
      <t>ケン</t>
    </rPh>
    <rPh sb="2" eb="3">
      <t>メイ</t>
    </rPh>
    <phoneticPr fontId="1"/>
  </si>
  <si>
    <t>°</t>
    <phoneticPr fontId="1"/>
  </si>
  <si>
    <t>’</t>
    <phoneticPr fontId="1"/>
  </si>
  <si>
    <t>”</t>
    <phoneticPr fontId="1"/>
  </si>
  <si>
    <t>Ｘ</t>
    <phoneticPr fontId="1"/>
  </si>
  <si>
    <t>Ｙ</t>
    <phoneticPr fontId="1"/>
  </si>
  <si>
    <t>----</t>
    <phoneticPr fontId="1"/>
  </si>
  <si>
    <t>交点１</t>
    <rPh sb="0" eb="2">
      <t>コウテン</t>
    </rPh>
    <phoneticPr fontId="1"/>
  </si>
  <si>
    <t>交点２</t>
    <rPh sb="0" eb="2">
      <t>コウテン</t>
    </rPh>
    <phoneticPr fontId="1"/>
  </si>
  <si>
    <t>交 点 計 算 （円－円）</t>
    <rPh sb="0" eb="1">
      <t>コウ</t>
    </rPh>
    <rPh sb="2" eb="3">
      <t>テン</t>
    </rPh>
    <rPh sb="4" eb="5">
      <t>ケイ</t>
    </rPh>
    <rPh sb="6" eb="7">
      <t>サン</t>
    </rPh>
    <rPh sb="9" eb="10">
      <t>エン</t>
    </rPh>
    <rPh sb="11" eb="12">
      <t>エン</t>
    </rPh>
    <phoneticPr fontId="1"/>
  </si>
  <si>
    <t>Ｘ</t>
    <phoneticPr fontId="1"/>
  </si>
  <si>
    <t>Ｙ</t>
    <phoneticPr fontId="1"/>
  </si>
  <si>
    <t>交 点 座 標</t>
    <rPh sb="0" eb="1">
      <t>コウ</t>
    </rPh>
    <rPh sb="2" eb="3">
      <t>テン</t>
    </rPh>
    <rPh sb="4" eb="5">
      <t>ザ</t>
    </rPh>
    <rPh sb="6" eb="7">
      <t>シルベ</t>
    </rPh>
    <phoneticPr fontId="1"/>
  </si>
  <si>
    <t>Ｘ</t>
    <phoneticPr fontId="1"/>
  </si>
  <si>
    <t>Ｙ</t>
    <phoneticPr fontId="1"/>
  </si>
  <si>
    <t>ΔＸ</t>
    <phoneticPr fontId="1"/>
  </si>
  <si>
    <t>ΔＹ</t>
    <phoneticPr fontId="1"/>
  </si>
  <si>
    <t>ＰＸ</t>
    <phoneticPr fontId="1"/>
  </si>
  <si>
    <t>ＰＹ</t>
    <phoneticPr fontId="1"/>
  </si>
  <si>
    <t>ＱＸ</t>
    <phoneticPr fontId="1"/>
  </si>
  <si>
    <t>ＱＹ</t>
    <phoneticPr fontId="1"/>
  </si>
  <si>
    <t>----</t>
    <phoneticPr fontId="1"/>
  </si>
  <si>
    <t>Ｂ</t>
    <phoneticPr fontId="1"/>
  </si>
  <si>
    <t>Ａ 円 の 中 心 座 標</t>
    <rPh sb="2" eb="3">
      <t>エン</t>
    </rPh>
    <rPh sb="6" eb="7">
      <t>ナカ</t>
    </rPh>
    <rPh sb="8" eb="9">
      <t>ココロ</t>
    </rPh>
    <rPh sb="10" eb="11">
      <t>ザ</t>
    </rPh>
    <rPh sb="12" eb="13">
      <t>シルベ</t>
    </rPh>
    <phoneticPr fontId="1"/>
  </si>
  <si>
    <t>Ｂ 円 の 中 心 座 標</t>
    <rPh sb="2" eb="3">
      <t>エン</t>
    </rPh>
    <rPh sb="6" eb="7">
      <t>ナカ</t>
    </rPh>
    <rPh sb="8" eb="9">
      <t>ココロ</t>
    </rPh>
    <rPh sb="10" eb="11">
      <t>ザ</t>
    </rPh>
    <rPh sb="12" eb="13">
      <t>シルベ</t>
    </rPh>
    <phoneticPr fontId="1"/>
  </si>
  <si>
    <t>Ｂ円半径</t>
    <rPh sb="1" eb="2">
      <t>エン</t>
    </rPh>
    <rPh sb="2" eb="4">
      <t>ハンケイ</t>
    </rPh>
    <phoneticPr fontId="1"/>
  </si>
  <si>
    <t>----</t>
    <phoneticPr fontId="1"/>
  </si>
  <si>
    <t>円Ａ</t>
    <rPh sb="0" eb="1">
      <t>エン</t>
    </rPh>
    <phoneticPr fontId="1"/>
  </si>
  <si>
    <t>円Ｂ</t>
    <rPh sb="0" eb="1">
      <t>エン</t>
    </rPh>
    <phoneticPr fontId="1"/>
  </si>
  <si>
    <t>Ａ円半径</t>
    <rPh sb="1" eb="2">
      <t>エン</t>
    </rPh>
    <rPh sb="2" eb="4">
      <t>ハンケイ</t>
    </rPh>
    <phoneticPr fontId="1"/>
  </si>
  <si>
    <t>Ａ～Ｂ→</t>
    <phoneticPr fontId="1"/>
  </si>
  <si>
    <t>----</t>
    <phoneticPr fontId="1"/>
  </si>
  <si>
    <t>↓交点間</t>
    <rPh sb="1" eb="3">
      <t>コウテン</t>
    </rPh>
    <rPh sb="3" eb="4">
      <t>カン</t>
    </rPh>
    <phoneticPr fontId="1"/>
  </si>
  <si>
    <t>---</t>
    <phoneticPr fontId="1"/>
  </si>
  <si>
    <t>Ｌ</t>
    <phoneticPr fontId="1"/>
  </si>
  <si>
    <t>L^2+Ra^2-Rb^2</t>
    <phoneticPr fontId="1"/>
  </si>
  <si>
    <t>2*L*Ra</t>
    <phoneticPr fontId="1"/>
  </si>
  <si>
    <t>α’</t>
    <phoneticPr fontId="1"/>
  </si>
  <si>
    <t>アークタンジェント</t>
    <phoneticPr fontId="1"/>
  </si>
  <si>
    <t>距離Ｐ～Ｑ</t>
    <rPh sb="0" eb="2">
      <t>キョリ</t>
    </rPh>
    <phoneticPr fontId="1"/>
  </si>
  <si>
    <t>方向角(Ａ～)</t>
    <rPh sb="0" eb="2">
      <t>ホウコウ</t>
    </rPh>
    <rPh sb="2" eb="3">
      <t>カク</t>
    </rPh>
    <phoneticPr fontId="1"/>
  </si>
  <si>
    <t>↓Ra+Rb-L</t>
    <phoneticPr fontId="1"/>
  </si>
  <si>
    <t>↓Ra-Rb+L</t>
    <phoneticPr fontId="1"/>
  </si>
  <si>
    <t>↓-Ra+Rb+L</t>
    <phoneticPr fontId="1"/>
  </si>
  <si>
    <t xml:space="preserve"> Ａ</t>
  </si>
  <si>
    <t>交点１</t>
  </si>
  <si>
    <t>　　　　 交点２</t>
    <phoneticPr fontId="1"/>
  </si>
  <si>
    <t>サンプルデータ９</t>
    <phoneticPr fontId="1"/>
  </si>
  <si>
    <t>Z-123</t>
    <phoneticPr fontId="1"/>
  </si>
  <si>
    <t>Y-321</t>
    <phoneticPr fontId="1"/>
  </si>
  <si>
    <t>Y-322</t>
    <phoneticPr fontId="1"/>
  </si>
  <si>
    <t>※このシートで実際に計算できます。（入力項目欄：黄色、計算結果欄：緑色）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</si>
</sst>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00_ "/>
    <numFmt numFmtId="182" formatCode="0_ "/>
    <numFmt numFmtId="183" formatCode="0.00_ "/>
    <numFmt numFmtId="184" formatCode="0.0000_ "/>
    <numFmt numFmtId="189" formatCode="#,##0.000_ "/>
    <numFmt numFmtId="190" formatCode="0.00000_ "/>
  </numFmts>
  <fonts count="1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0.5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3" fillId="0" borderId="0" xfId="0" applyFont="1" applyProtection="1"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176" fontId="5" fillId="0" borderId="0" xfId="0" applyNumberFormat="1" applyFont="1" applyAlignment="1" applyProtection="1">
      <alignment vertical="center"/>
      <protection hidden="1"/>
    </xf>
    <xf numFmtId="49" fontId="5" fillId="0" borderId="0" xfId="0" applyNumberFormat="1" applyFont="1" applyProtection="1">
      <protection hidden="1"/>
    </xf>
    <xf numFmtId="0" fontId="5" fillId="0" borderId="0" xfId="0" applyFont="1" applyBorder="1" applyAlignment="1" applyProtection="1">
      <protection hidden="1"/>
    </xf>
    <xf numFmtId="0" fontId="5" fillId="0" borderId="0" xfId="0" quotePrefix="1" applyFont="1" applyProtection="1">
      <protection hidden="1"/>
    </xf>
    <xf numFmtId="176" fontId="5" fillId="0" borderId="0" xfId="0" applyNumberFormat="1" applyFont="1" applyBorder="1" applyAlignment="1" applyProtection="1">
      <protection hidden="1"/>
    </xf>
    <xf numFmtId="184" fontId="5" fillId="0" borderId="0" xfId="0" applyNumberFormat="1" applyFont="1" applyProtection="1">
      <protection hidden="1"/>
    </xf>
    <xf numFmtId="190" fontId="5" fillId="0" borderId="0" xfId="0" applyNumberFormat="1" applyFont="1" applyProtection="1">
      <protection hidden="1"/>
    </xf>
    <xf numFmtId="176" fontId="5" fillId="0" borderId="0" xfId="0" applyNumberFormat="1" applyFont="1" applyProtection="1">
      <protection hidden="1"/>
    </xf>
    <xf numFmtId="49" fontId="7" fillId="0" borderId="8" xfId="0" applyNumberFormat="1" applyFont="1" applyBorder="1" applyAlignment="1" applyProtection="1">
      <alignment vertical="center"/>
      <protection hidden="1"/>
    </xf>
    <xf numFmtId="49" fontId="7" fillId="0" borderId="0" xfId="0" applyNumberFormat="1" applyFont="1" applyBorder="1" applyAlignment="1" applyProtection="1">
      <alignment vertical="center"/>
      <protection hidden="1"/>
    </xf>
    <xf numFmtId="49" fontId="7" fillId="0" borderId="9" xfId="0" applyNumberFormat="1" applyFont="1" applyBorder="1" applyAlignment="1" applyProtection="1">
      <alignment vertical="center"/>
      <protection hidden="1"/>
    </xf>
    <xf numFmtId="49" fontId="5" fillId="0" borderId="1" xfId="0" applyNumberFormat="1" applyFont="1" applyBorder="1" applyAlignment="1" applyProtection="1">
      <alignment vertical="center"/>
      <protection hidden="1"/>
    </xf>
    <xf numFmtId="49" fontId="5" fillId="0" borderId="6" xfId="0" applyNumberFormat="1" applyFont="1" applyBorder="1" applyAlignment="1" applyProtection="1">
      <alignment vertical="center"/>
      <protection hidden="1"/>
    </xf>
    <xf numFmtId="49" fontId="5" fillId="0" borderId="10" xfId="0" applyNumberFormat="1" applyFont="1" applyBorder="1" applyAlignment="1" applyProtection="1">
      <alignment vertical="center"/>
      <protection hidden="1"/>
    </xf>
    <xf numFmtId="182" fontId="5" fillId="0" borderId="0" xfId="0" applyNumberFormat="1" applyFont="1" applyProtection="1">
      <protection hidden="1"/>
    </xf>
    <xf numFmtId="182" fontId="5" fillId="0" borderId="0" xfId="0" applyNumberFormat="1" applyFont="1" applyAlignment="1" applyProtection="1">
      <alignment horizontal="center"/>
      <protection hidden="1"/>
    </xf>
    <xf numFmtId="183" fontId="5" fillId="0" borderId="0" xfId="0" applyNumberFormat="1" applyFont="1" applyAlignment="1" applyProtection="1">
      <alignment horizontal="center"/>
      <protection hidden="1"/>
    </xf>
    <xf numFmtId="176" fontId="5" fillId="0" borderId="0" xfId="0" applyNumberFormat="1" applyFont="1" applyAlignment="1" applyProtection="1">
      <protection hidden="1"/>
    </xf>
    <xf numFmtId="0" fontId="6" fillId="0" borderId="9" xfId="0" applyFont="1" applyBorder="1" applyAlignment="1" applyProtection="1">
      <alignment vertical="center"/>
      <protection hidden="1"/>
    </xf>
    <xf numFmtId="14" fontId="5" fillId="0" borderId="6" xfId="0" applyNumberFormat="1" applyFont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76" fontId="4" fillId="0" borderId="11" xfId="0" applyNumberFormat="1" applyFont="1" applyBorder="1" applyAlignment="1" applyProtection="1">
      <alignment horizontal="right"/>
      <protection hidden="1"/>
    </xf>
    <xf numFmtId="176" fontId="4" fillId="0" borderId="20" xfId="0" applyNumberFormat="1" applyFont="1" applyBorder="1" applyAlignment="1" applyProtection="1">
      <alignment horizontal="center"/>
      <protection hidden="1"/>
    </xf>
    <xf numFmtId="189" fontId="5" fillId="0" borderId="0" xfId="0" applyNumberFormat="1" applyFont="1" applyProtection="1"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176" fontId="4" fillId="0" borderId="24" xfId="0" applyNumberFormat="1" applyFont="1" applyBorder="1" applyAlignment="1" applyProtection="1">
      <alignment horizontal="right"/>
      <protection hidden="1"/>
    </xf>
    <xf numFmtId="49" fontId="7" fillId="0" borderId="0" xfId="0" applyNumberFormat="1" applyFont="1" applyBorder="1" applyAlignment="1" applyProtection="1">
      <alignment horizontal="right" vertical="center"/>
      <protection hidden="1"/>
    </xf>
    <xf numFmtId="49" fontId="7" fillId="0" borderId="0" xfId="0" applyNumberFormat="1" applyFont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0" fillId="0" borderId="9" xfId="0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/>
      <protection hidden="1"/>
    </xf>
    <xf numFmtId="49" fontId="7" fillId="0" borderId="0" xfId="0" applyNumberFormat="1" applyFont="1" applyBorder="1" applyAlignment="1" applyProtection="1">
      <alignment horizontal="right" vertical="top"/>
      <protection hidden="1"/>
    </xf>
    <xf numFmtId="49" fontId="7" fillId="0" borderId="0" xfId="0" applyNumberFormat="1" applyFont="1" applyBorder="1" applyAlignment="1" applyProtection="1">
      <alignment horizontal="center" vertical="top"/>
      <protection hidden="1"/>
    </xf>
    <xf numFmtId="49" fontId="7" fillId="0" borderId="0" xfId="0" applyNumberFormat="1" applyFont="1" applyBorder="1" applyAlignment="1" applyProtection="1">
      <alignment vertical="top"/>
      <protection hidden="1"/>
    </xf>
    <xf numFmtId="0" fontId="9" fillId="0" borderId="0" xfId="0" applyFont="1" applyAlignment="1" applyProtection="1">
      <alignment vertical="center"/>
      <protection hidden="1"/>
    </xf>
    <xf numFmtId="49" fontId="8" fillId="0" borderId="0" xfId="1" applyNumberFormat="1" applyAlignment="1" applyProtection="1">
      <alignment vertical="center"/>
      <protection hidden="1"/>
    </xf>
    <xf numFmtId="0" fontId="8" fillId="0" borderId="0" xfId="1" applyAlignment="1" applyProtection="1"/>
    <xf numFmtId="0" fontId="12" fillId="0" borderId="0" xfId="0" applyFont="1" applyAlignment="1">
      <alignment vertical="center"/>
    </xf>
    <xf numFmtId="0" fontId="2" fillId="0" borderId="6" xfId="0" applyFont="1" applyBorder="1" applyAlignment="1" applyProtection="1">
      <alignment horizontal="center" vertical="top"/>
      <protection hidden="1"/>
    </xf>
    <xf numFmtId="0" fontId="0" fillId="0" borderId="6" xfId="0" applyBorder="1" applyAlignment="1" applyProtection="1">
      <alignment horizontal="center" vertical="top"/>
      <protection hidden="1"/>
    </xf>
    <xf numFmtId="0" fontId="13" fillId="0" borderId="61" xfId="0" applyFont="1" applyBorder="1" applyAlignment="1" applyProtection="1">
      <alignment horizontal="center" vertical="center"/>
      <protection hidden="1"/>
    </xf>
    <xf numFmtId="0" fontId="13" fillId="0" borderId="62" xfId="0" applyFont="1" applyBorder="1" applyAlignment="1" applyProtection="1">
      <alignment horizontal="center" vertical="center"/>
      <protection hidden="1"/>
    </xf>
    <xf numFmtId="0" fontId="14" fillId="2" borderId="63" xfId="0" applyFont="1" applyFill="1" applyBorder="1" applyAlignment="1" applyProtection="1">
      <alignment vertical="center"/>
      <protection locked="0"/>
    </xf>
    <xf numFmtId="0" fontId="14" fillId="2" borderId="62" xfId="0" applyFont="1" applyFill="1" applyBorder="1" applyAlignment="1" applyProtection="1">
      <alignment vertical="center"/>
      <protection locked="0"/>
    </xf>
    <xf numFmtId="0" fontId="14" fillId="2" borderId="15" xfId="0" applyFont="1" applyFill="1" applyBorder="1" applyAlignment="1" applyProtection="1">
      <alignment vertical="center"/>
      <protection locked="0"/>
    </xf>
    <xf numFmtId="0" fontId="14" fillId="2" borderId="64" xfId="0" applyFont="1" applyFill="1" applyBorder="1" applyAlignment="1" applyProtection="1">
      <alignment vertical="center"/>
      <protection locked="0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65" xfId="0" applyFont="1" applyBorder="1" applyAlignment="1" applyProtection="1">
      <alignment horizontal="center" vertical="center"/>
      <protection hidden="1"/>
    </xf>
    <xf numFmtId="0" fontId="13" fillId="0" borderId="67" xfId="0" applyFont="1" applyBorder="1" applyAlignment="1" applyProtection="1">
      <alignment horizontal="center" vertical="center"/>
      <protection hidden="1"/>
    </xf>
    <xf numFmtId="0" fontId="13" fillId="0" borderId="68" xfId="0" applyFont="1" applyBorder="1" applyAlignment="1" applyProtection="1">
      <alignment horizontal="center" vertical="center"/>
      <protection hidden="1"/>
    </xf>
    <xf numFmtId="0" fontId="13" fillId="0" borderId="59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13" fillId="0" borderId="66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/>
      <protection hidden="1"/>
    </xf>
    <xf numFmtId="0" fontId="13" fillId="0" borderId="3" xfId="0" applyFont="1" applyBorder="1" applyAlignment="1" applyProtection="1">
      <alignment horizontal="center"/>
      <protection hidden="1"/>
    </xf>
    <xf numFmtId="0" fontId="4" fillId="0" borderId="60" xfId="0" applyFont="1" applyBorder="1" applyAlignment="1" applyProtection="1">
      <protection hidden="1"/>
    </xf>
    <xf numFmtId="0" fontId="4" fillId="0" borderId="3" xfId="0" quotePrefix="1" applyFont="1" applyBorder="1" applyAlignment="1" applyProtection="1">
      <alignment horizontal="right"/>
      <protection hidden="1"/>
    </xf>
    <xf numFmtId="0" fontId="4" fillId="0" borderId="2" xfId="0" quotePrefix="1" applyFont="1" applyBorder="1" applyAlignment="1" applyProtection="1">
      <alignment horizontal="right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49" fontId="14" fillId="2" borderId="54" xfId="0" applyNumberFormat="1" applyFont="1" applyFill="1" applyBorder="1" applyAlignment="1" applyProtection="1">
      <alignment horizontal="left" vertical="center"/>
      <protection locked="0"/>
    </xf>
    <xf numFmtId="176" fontId="14" fillId="2" borderId="28" xfId="0" applyNumberFormat="1" applyFont="1" applyFill="1" applyBorder="1" applyAlignment="1" applyProtection="1">
      <alignment vertical="center"/>
      <protection locked="0"/>
    </xf>
    <xf numFmtId="176" fontId="14" fillId="2" borderId="11" xfId="0" applyNumberFormat="1" applyFont="1" applyFill="1" applyBorder="1" applyAlignment="1" applyProtection="1">
      <alignment vertical="center"/>
      <protection locked="0"/>
    </xf>
    <xf numFmtId="189" fontId="14" fillId="2" borderId="11" xfId="0" quotePrefix="1" applyNumberFormat="1" applyFont="1" applyFill="1" applyBorder="1" applyAlignment="1" applyProtection="1">
      <alignment vertical="center"/>
      <protection locked="0"/>
    </xf>
    <xf numFmtId="182" fontId="4" fillId="0" borderId="19" xfId="0" quotePrefix="1" applyNumberFormat="1" applyFont="1" applyBorder="1" applyAlignment="1" applyProtection="1">
      <alignment horizontal="center" vertical="center"/>
      <protection hidden="1"/>
    </xf>
    <xf numFmtId="182" fontId="4" fillId="0" borderId="0" xfId="0" quotePrefix="1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9" xfId="0" applyFont="1" applyFill="1" applyBorder="1" applyAlignment="1" applyProtection="1">
      <alignment horizontal="left"/>
      <protection hidden="1"/>
    </xf>
    <xf numFmtId="49" fontId="14" fillId="0" borderId="27" xfId="0" quotePrefix="1" applyNumberFormat="1" applyFont="1" applyBorder="1" applyAlignment="1" applyProtection="1">
      <alignment horizontal="center" vertical="center"/>
      <protection hidden="1"/>
    </xf>
    <xf numFmtId="176" fontId="14" fillId="0" borderId="6" xfId="0" quotePrefix="1" applyNumberFormat="1" applyFont="1" applyBorder="1" applyAlignment="1" applyProtection="1">
      <alignment horizontal="center" vertical="center"/>
      <protection hidden="1"/>
    </xf>
    <xf numFmtId="176" fontId="14" fillId="0" borderId="22" xfId="0" quotePrefix="1" applyNumberFormat="1" applyFont="1" applyBorder="1" applyAlignment="1" applyProtection="1">
      <alignment horizontal="center" vertical="center"/>
      <protection hidden="1"/>
    </xf>
    <xf numFmtId="182" fontId="4" fillId="0" borderId="22" xfId="0" quotePrefix="1" applyNumberFormat="1" applyFont="1" applyBorder="1" applyAlignment="1" applyProtection="1">
      <alignment horizontal="center" vertical="center"/>
      <protection hidden="1"/>
    </xf>
    <xf numFmtId="182" fontId="4" fillId="0" borderId="22" xfId="0" applyNumberFormat="1" applyFont="1" applyBorder="1" applyAlignment="1" applyProtection="1">
      <alignment vertical="center"/>
      <protection hidden="1"/>
    </xf>
    <xf numFmtId="183" fontId="4" fillId="0" borderId="6" xfId="0" applyNumberFormat="1" applyFont="1" applyBorder="1" applyAlignment="1" applyProtection="1">
      <alignment vertical="center"/>
      <protection hidden="1"/>
    </xf>
    <xf numFmtId="176" fontId="4" fillId="0" borderId="6" xfId="0" applyNumberFormat="1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vertical="center"/>
      <protection hidden="1"/>
    </xf>
    <xf numFmtId="0" fontId="4" fillId="0" borderId="15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3" fillId="0" borderId="71" xfId="0" applyFont="1" applyBorder="1" applyAlignment="1" applyProtection="1">
      <alignment horizontal="center" vertical="center"/>
      <protection hidden="1"/>
    </xf>
    <xf numFmtId="0" fontId="13" fillId="0" borderId="72" xfId="0" applyFont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center" vertical="center"/>
      <protection hidden="1"/>
    </xf>
    <xf numFmtId="0" fontId="13" fillId="0" borderId="56" xfId="0" applyFont="1" applyBorder="1" applyAlignment="1" applyProtection="1">
      <alignment horizontal="center" vertical="center"/>
      <protection hidden="1"/>
    </xf>
    <xf numFmtId="0" fontId="4" fillId="0" borderId="57" xfId="0" applyFont="1" applyBorder="1" applyAlignment="1" applyProtection="1">
      <alignment horizontal="center" vertical="center"/>
      <protection hidden="1"/>
    </xf>
    <xf numFmtId="0" fontId="4" fillId="0" borderId="76" xfId="0" applyFont="1" applyBorder="1" applyAlignment="1" applyProtection="1">
      <alignment horizontal="center" vertical="center"/>
      <protection hidden="1"/>
    </xf>
    <xf numFmtId="0" fontId="4" fillId="0" borderId="58" xfId="0" applyFont="1" applyBorder="1" applyAlignment="1" applyProtection="1">
      <alignment horizontal="center" vertical="center"/>
      <protection hidden="1"/>
    </xf>
    <xf numFmtId="0" fontId="4" fillId="0" borderId="69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protection hidden="1"/>
    </xf>
    <xf numFmtId="0" fontId="4" fillId="0" borderId="3" xfId="0" applyFont="1" applyBorder="1" applyAlignment="1" applyProtection="1">
      <alignment horizontal="right"/>
      <protection hidden="1"/>
    </xf>
    <xf numFmtId="0" fontId="4" fillId="0" borderId="4" xfId="0" quotePrefix="1" applyFont="1" applyBorder="1" applyAlignment="1" applyProtection="1">
      <alignment horizontal="right"/>
      <protection hidden="1"/>
    </xf>
    <xf numFmtId="0" fontId="4" fillId="0" borderId="5" xfId="0" quotePrefix="1" applyFont="1" applyBorder="1" applyAlignment="1" applyProtection="1">
      <alignment horizontal="right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70" xfId="0" applyFont="1" applyBorder="1" applyAlignment="1" applyProtection="1">
      <protection hidden="1"/>
    </xf>
    <xf numFmtId="49" fontId="14" fillId="2" borderId="29" xfId="0" applyNumberFormat="1" applyFont="1" applyFill="1" applyBorder="1" applyProtection="1">
      <protection locked="0"/>
    </xf>
    <xf numFmtId="176" fontId="14" fillId="2" borderId="11" xfId="0" applyNumberFormat="1" applyFont="1" applyFill="1" applyBorder="1" applyAlignment="1" applyProtection="1">
      <alignment horizontal="right"/>
      <protection locked="0"/>
    </xf>
    <xf numFmtId="189" fontId="14" fillId="2" borderId="11" xfId="0" applyNumberFormat="1" applyFont="1" applyFill="1" applyBorder="1" applyAlignment="1" applyProtection="1">
      <protection locked="0"/>
    </xf>
    <xf numFmtId="182" fontId="4" fillId="3" borderId="31" xfId="0" quotePrefix="1" applyNumberFormat="1" applyFont="1" applyFill="1" applyBorder="1" applyAlignment="1" applyProtection="1">
      <protection hidden="1"/>
    </xf>
    <xf numFmtId="182" fontId="4" fillId="3" borderId="32" xfId="0" quotePrefix="1" applyNumberFormat="1" applyFont="1" applyFill="1" applyBorder="1" applyAlignment="1" applyProtection="1">
      <protection hidden="1"/>
    </xf>
    <xf numFmtId="183" fontId="4" fillId="3" borderId="33" xfId="0" quotePrefix="1" applyNumberFormat="1" applyFont="1" applyFill="1" applyBorder="1" applyAlignment="1" applyProtection="1">
      <protection hidden="1"/>
    </xf>
    <xf numFmtId="176" fontId="4" fillId="0" borderId="11" xfId="0" quotePrefix="1" applyNumberFormat="1" applyFont="1" applyBorder="1" applyAlignment="1" applyProtection="1">
      <alignment horizontal="center"/>
      <protection hidden="1"/>
    </xf>
    <xf numFmtId="189" fontId="4" fillId="3" borderId="50" xfId="0" quotePrefix="1" applyNumberFormat="1" applyFont="1" applyFill="1" applyBorder="1" applyAlignment="1" applyProtection="1">
      <protection hidden="1"/>
    </xf>
    <xf numFmtId="0" fontId="4" fillId="0" borderId="73" xfId="0" applyFont="1" applyBorder="1" applyAlignment="1" applyProtection="1">
      <alignment vertical="center"/>
      <protection hidden="1"/>
    </xf>
    <xf numFmtId="49" fontId="14" fillId="2" borderId="13" xfId="0" applyNumberFormat="1" applyFont="1" applyFill="1" applyBorder="1" applyAlignment="1" applyProtection="1">
      <protection locked="0"/>
    </xf>
    <xf numFmtId="176" fontId="4" fillId="0" borderId="13" xfId="0" quotePrefix="1" applyNumberFormat="1" applyFont="1" applyBorder="1" applyAlignment="1" applyProtection="1">
      <alignment horizontal="center" vertical="center"/>
      <protection hidden="1"/>
    </xf>
    <xf numFmtId="182" fontId="4" fillId="3" borderId="34" xfId="0" applyNumberFormat="1" applyFont="1" applyFill="1" applyBorder="1" applyAlignment="1" applyProtection="1">
      <protection hidden="1"/>
    </xf>
    <xf numFmtId="182" fontId="4" fillId="3" borderId="35" xfId="0" applyNumberFormat="1" applyFont="1" applyFill="1" applyBorder="1" applyAlignment="1" applyProtection="1">
      <protection hidden="1"/>
    </xf>
    <xf numFmtId="183" fontId="4" fillId="3" borderId="36" xfId="0" applyNumberFormat="1" applyFont="1" applyFill="1" applyBorder="1" applyAlignment="1" applyProtection="1">
      <protection hidden="1"/>
    </xf>
    <xf numFmtId="176" fontId="4" fillId="3" borderId="13" xfId="0" applyNumberFormat="1" applyFont="1" applyFill="1" applyBorder="1" applyProtection="1">
      <protection hidden="1"/>
    </xf>
    <xf numFmtId="176" fontId="4" fillId="3" borderId="46" xfId="0" applyNumberFormat="1" applyFont="1" applyFill="1" applyBorder="1" applyProtection="1">
      <protection hidden="1"/>
    </xf>
    <xf numFmtId="0" fontId="4" fillId="0" borderId="75" xfId="0" applyFont="1" applyBorder="1" applyAlignment="1" applyProtection="1">
      <alignment vertical="center"/>
      <protection hidden="1"/>
    </xf>
    <xf numFmtId="49" fontId="14" fillId="2" borderId="12" xfId="0" applyNumberFormat="1" applyFont="1" applyFill="1" applyBorder="1" applyAlignment="1" applyProtection="1">
      <protection locked="0"/>
    </xf>
    <xf numFmtId="176" fontId="4" fillId="0" borderId="12" xfId="0" quotePrefix="1" applyNumberFormat="1" applyFont="1" applyBorder="1" applyAlignment="1" applyProtection="1">
      <alignment horizontal="center" vertical="center"/>
      <protection hidden="1"/>
    </xf>
    <xf numFmtId="182" fontId="4" fillId="3" borderId="37" xfId="0" applyNumberFormat="1" applyFont="1" applyFill="1" applyBorder="1" applyAlignment="1" applyProtection="1">
      <protection hidden="1"/>
    </xf>
    <xf numFmtId="182" fontId="4" fillId="3" borderId="38" xfId="0" applyNumberFormat="1" applyFont="1" applyFill="1" applyBorder="1" applyAlignment="1" applyProtection="1">
      <protection hidden="1"/>
    </xf>
    <xf numFmtId="183" fontId="4" fillId="3" borderId="39" xfId="0" applyNumberFormat="1" applyFont="1" applyFill="1" applyBorder="1" applyAlignment="1" applyProtection="1">
      <protection hidden="1"/>
    </xf>
    <xf numFmtId="176" fontId="4" fillId="3" borderId="47" xfId="0" applyNumberFormat="1" applyFont="1" applyFill="1" applyBorder="1" applyProtection="1">
      <protection hidden="1"/>
    </xf>
    <xf numFmtId="176" fontId="4" fillId="3" borderId="48" xfId="0" applyNumberFormat="1" applyFont="1" applyFill="1" applyBorder="1" applyProtection="1">
      <protection hidden="1"/>
    </xf>
    <xf numFmtId="176" fontId="4" fillId="3" borderId="51" xfId="0" applyNumberFormat="1" applyFont="1" applyFill="1" applyBorder="1" applyProtection="1">
      <protection hidden="1"/>
    </xf>
    <xf numFmtId="49" fontId="14" fillId="2" borderId="30" xfId="0" applyNumberFormat="1" applyFont="1" applyFill="1" applyBorder="1" applyProtection="1">
      <protection locked="0"/>
    </xf>
    <xf numFmtId="176" fontId="14" fillId="2" borderId="24" xfId="0" applyNumberFormat="1" applyFont="1" applyFill="1" applyBorder="1" applyAlignment="1" applyProtection="1">
      <alignment horizontal="right"/>
      <protection locked="0"/>
    </xf>
    <xf numFmtId="189" fontId="14" fillId="2" borderId="24" xfId="0" applyNumberFormat="1" applyFont="1" applyFill="1" applyBorder="1" applyAlignment="1" applyProtection="1">
      <protection locked="0"/>
    </xf>
    <xf numFmtId="182" fontId="4" fillId="3" borderId="40" xfId="0" quotePrefix="1" applyNumberFormat="1" applyFont="1" applyFill="1" applyBorder="1" applyAlignment="1" applyProtection="1">
      <protection hidden="1"/>
    </xf>
    <xf numFmtId="182" fontId="4" fillId="3" borderId="41" xfId="0" quotePrefix="1" applyNumberFormat="1" applyFont="1" applyFill="1" applyBorder="1" applyAlignment="1" applyProtection="1">
      <protection hidden="1"/>
    </xf>
    <xf numFmtId="183" fontId="4" fillId="3" borderId="42" xfId="0" quotePrefix="1" applyNumberFormat="1" applyFont="1" applyFill="1" applyBorder="1" applyAlignment="1" applyProtection="1">
      <protection hidden="1"/>
    </xf>
    <xf numFmtId="176" fontId="4" fillId="0" borderId="24" xfId="0" quotePrefix="1" applyNumberFormat="1" applyFont="1" applyBorder="1" applyAlignment="1" applyProtection="1">
      <alignment horizontal="center"/>
      <protection hidden="1"/>
    </xf>
    <xf numFmtId="189" fontId="4" fillId="3" borderId="52" xfId="0" quotePrefix="1" applyNumberFormat="1" applyFont="1" applyFill="1" applyBorder="1" applyAlignment="1" applyProtection="1">
      <protection hidden="1"/>
    </xf>
    <xf numFmtId="0" fontId="4" fillId="0" borderId="74" xfId="0" applyFont="1" applyBorder="1" applyAlignment="1" applyProtection="1">
      <alignment vertical="center"/>
      <protection hidden="1"/>
    </xf>
    <xf numFmtId="49" fontId="14" fillId="2" borderId="26" xfId="0" applyNumberFormat="1" applyFont="1" applyFill="1" applyBorder="1" applyAlignment="1" applyProtection="1">
      <protection locked="0"/>
    </xf>
    <xf numFmtId="176" fontId="4" fillId="0" borderId="25" xfId="0" quotePrefix="1" applyNumberFormat="1" applyFont="1" applyBorder="1" applyAlignment="1" applyProtection="1">
      <alignment horizontal="center" vertical="center"/>
      <protection hidden="1"/>
    </xf>
    <xf numFmtId="176" fontId="4" fillId="0" borderId="26" xfId="0" quotePrefix="1" applyNumberFormat="1" applyFont="1" applyBorder="1" applyAlignment="1" applyProtection="1">
      <alignment horizontal="center" vertical="center"/>
      <protection hidden="1"/>
    </xf>
    <xf numFmtId="182" fontId="4" fillId="3" borderId="43" xfId="0" applyNumberFormat="1" applyFont="1" applyFill="1" applyBorder="1" applyAlignment="1" applyProtection="1">
      <protection hidden="1"/>
    </xf>
    <xf numFmtId="182" fontId="4" fillId="3" borderId="44" xfId="0" applyNumberFormat="1" applyFont="1" applyFill="1" applyBorder="1" applyAlignment="1" applyProtection="1">
      <protection hidden="1"/>
    </xf>
    <xf numFmtId="183" fontId="4" fillId="3" borderId="45" xfId="0" applyNumberFormat="1" applyFont="1" applyFill="1" applyBorder="1" applyAlignment="1" applyProtection="1">
      <protection hidden="1"/>
    </xf>
    <xf numFmtId="176" fontId="4" fillId="3" borderId="49" xfId="0" applyNumberFormat="1" applyFont="1" applyFill="1" applyBorder="1" applyProtection="1">
      <protection hidden="1"/>
    </xf>
    <xf numFmtId="176" fontId="4" fillId="3" borderId="26" xfId="0" applyNumberFormat="1" applyFont="1" applyFill="1" applyBorder="1" applyProtection="1">
      <protection hidden="1"/>
    </xf>
    <xf numFmtId="176" fontId="4" fillId="3" borderId="53" xfId="0" applyNumberFormat="1" applyFont="1" applyFill="1" applyBorder="1" applyProtection="1"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933450</xdr:colOff>
      <xdr:row>34</xdr:row>
      <xdr:rowOff>28575</xdr:rowOff>
    </xdr:from>
    <xdr:to>
      <xdr:col>6</xdr:col>
      <xdr:colOff>333375</xdr:colOff>
      <xdr:row>44</xdr:row>
      <xdr:rowOff>0</xdr:rowOff>
    </xdr:to>
    <xdr:sp macro="" textlink="">
      <xdr:nvSpPr>
        <xdr:cNvPr id="3074" name="Oval 2">
          <a:extLst>
            <a:ext uri="{FF2B5EF4-FFF2-40B4-BE49-F238E27FC236}">
              <a16:creationId xmlns:a16="http://schemas.microsoft.com/office/drawing/2014/main" id="{7E5F328F-C018-4F8C-A215-AD70F5461B62}"/>
            </a:ext>
          </a:extLst>
        </xdr:cNvPr>
        <xdr:cNvSpPr>
          <a:spLocks noChangeArrowheads="1"/>
        </xdr:cNvSpPr>
      </xdr:nvSpPr>
      <xdr:spPr bwMode="auto">
        <a:xfrm>
          <a:off x="2076450" y="7800975"/>
          <a:ext cx="2162175" cy="21621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438150</xdr:colOff>
      <xdr:row>29</xdr:row>
      <xdr:rowOff>114300</xdr:rowOff>
    </xdr:from>
    <xdr:to>
      <xdr:col>10</xdr:col>
      <xdr:colOff>419100</xdr:colOff>
      <xdr:row>42</xdr:row>
      <xdr:rowOff>142875</xdr:rowOff>
    </xdr:to>
    <xdr:sp macro="" textlink="">
      <xdr:nvSpPr>
        <xdr:cNvPr id="3078" name="Oval 6">
          <a:extLst>
            <a:ext uri="{FF2B5EF4-FFF2-40B4-BE49-F238E27FC236}">
              <a16:creationId xmlns:a16="http://schemas.microsoft.com/office/drawing/2014/main" id="{07D38334-B189-456E-BF47-B2E383D04D44}"/>
            </a:ext>
          </a:extLst>
        </xdr:cNvPr>
        <xdr:cNvSpPr>
          <a:spLocks noChangeArrowheads="1"/>
        </xdr:cNvSpPr>
      </xdr:nvSpPr>
      <xdr:spPr bwMode="auto">
        <a:xfrm>
          <a:off x="3581400" y="6791325"/>
          <a:ext cx="2876550" cy="2876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942975</xdr:colOff>
      <xdr:row>39</xdr:row>
      <xdr:rowOff>0</xdr:rowOff>
    </xdr:from>
    <xdr:to>
      <xdr:col>4</xdr:col>
      <xdr:colOff>990600</xdr:colOff>
      <xdr:row>39</xdr:row>
      <xdr:rowOff>0</xdr:rowOff>
    </xdr:to>
    <xdr:sp macro="" textlink="">
      <xdr:nvSpPr>
        <xdr:cNvPr id="3080" name="Line 8">
          <a:extLst>
            <a:ext uri="{FF2B5EF4-FFF2-40B4-BE49-F238E27FC236}">
              <a16:creationId xmlns:a16="http://schemas.microsoft.com/office/drawing/2014/main" id="{55DB7ECD-D2B1-47F5-BE3B-6521A5299718}"/>
            </a:ext>
          </a:extLst>
        </xdr:cNvPr>
        <xdr:cNvSpPr>
          <a:spLocks noChangeShapeType="1"/>
        </xdr:cNvSpPr>
      </xdr:nvSpPr>
      <xdr:spPr bwMode="auto">
        <a:xfrm flipH="1">
          <a:off x="2085975" y="8867775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lg" len="lg"/>
          <a:tailEnd type="non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36</xdr:row>
      <xdr:rowOff>0</xdr:rowOff>
    </xdr:from>
    <xdr:to>
      <xdr:col>10</xdr:col>
      <xdr:colOff>419100</xdr:colOff>
      <xdr:row>36</xdr:row>
      <xdr:rowOff>0</xdr:rowOff>
    </xdr:to>
    <xdr:sp macro="" textlink="">
      <xdr:nvSpPr>
        <xdr:cNvPr id="3081" name="Line 9">
          <a:extLst>
            <a:ext uri="{FF2B5EF4-FFF2-40B4-BE49-F238E27FC236}">
              <a16:creationId xmlns:a16="http://schemas.microsoft.com/office/drawing/2014/main" id="{A3E3A265-C5EF-4414-8E8C-E4944B0E9FC6}"/>
            </a:ext>
          </a:extLst>
        </xdr:cNvPr>
        <xdr:cNvSpPr>
          <a:spLocks noChangeShapeType="1"/>
        </xdr:cNvSpPr>
      </xdr:nvSpPr>
      <xdr:spPr bwMode="auto">
        <a:xfrm>
          <a:off x="5038725" y="8210550"/>
          <a:ext cx="1419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lg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8</xdr:col>
      <xdr:colOff>457200</xdr:colOff>
      <xdr:row>39</xdr:row>
      <xdr:rowOff>0</xdr:rowOff>
    </xdr:to>
    <xdr:sp macro="" textlink="">
      <xdr:nvSpPr>
        <xdr:cNvPr id="3083" name="Line 11">
          <a:extLst>
            <a:ext uri="{FF2B5EF4-FFF2-40B4-BE49-F238E27FC236}">
              <a16:creationId xmlns:a16="http://schemas.microsoft.com/office/drawing/2014/main" id="{E559814F-480A-4A85-B7B3-96DD4E5858F3}"/>
            </a:ext>
          </a:extLst>
        </xdr:cNvPr>
        <xdr:cNvSpPr>
          <a:spLocks noChangeShapeType="1"/>
        </xdr:cNvSpPr>
      </xdr:nvSpPr>
      <xdr:spPr bwMode="auto">
        <a:xfrm flipV="1">
          <a:off x="3143250" y="8210550"/>
          <a:ext cx="1885950" cy="657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39</xdr:row>
      <xdr:rowOff>9525</xdr:rowOff>
    </xdr:from>
    <xdr:to>
      <xdr:col>6</xdr:col>
      <xdr:colOff>219075</xdr:colOff>
      <xdr:row>41</xdr:row>
      <xdr:rowOff>47625</xdr:rowOff>
    </xdr:to>
    <xdr:sp macro="" textlink="">
      <xdr:nvSpPr>
        <xdr:cNvPr id="3084" name="Line 12">
          <a:extLst>
            <a:ext uri="{FF2B5EF4-FFF2-40B4-BE49-F238E27FC236}">
              <a16:creationId xmlns:a16="http://schemas.microsoft.com/office/drawing/2014/main" id="{F706BCEE-27FF-4F20-9C5A-23156DC9ED23}"/>
            </a:ext>
          </a:extLst>
        </xdr:cNvPr>
        <xdr:cNvSpPr>
          <a:spLocks noChangeShapeType="1"/>
        </xdr:cNvSpPr>
      </xdr:nvSpPr>
      <xdr:spPr bwMode="auto">
        <a:xfrm>
          <a:off x="3143250" y="8877300"/>
          <a:ext cx="9810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34</xdr:row>
      <xdr:rowOff>133350</xdr:rowOff>
    </xdr:from>
    <xdr:to>
      <xdr:col>5</xdr:col>
      <xdr:colOff>476250</xdr:colOff>
      <xdr:row>38</xdr:row>
      <xdr:rowOff>209550</xdr:rowOff>
    </xdr:to>
    <xdr:sp macro="" textlink="">
      <xdr:nvSpPr>
        <xdr:cNvPr id="3085" name="Line 13">
          <a:extLst>
            <a:ext uri="{FF2B5EF4-FFF2-40B4-BE49-F238E27FC236}">
              <a16:creationId xmlns:a16="http://schemas.microsoft.com/office/drawing/2014/main" id="{801A0103-7B11-4746-BB97-D903AAB093DD}"/>
            </a:ext>
          </a:extLst>
        </xdr:cNvPr>
        <xdr:cNvSpPr>
          <a:spLocks noChangeShapeType="1"/>
        </xdr:cNvSpPr>
      </xdr:nvSpPr>
      <xdr:spPr bwMode="auto">
        <a:xfrm flipV="1">
          <a:off x="3143250" y="7905750"/>
          <a:ext cx="476250" cy="952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476250</xdr:colOff>
      <xdr:row>34</xdr:row>
      <xdr:rowOff>123825</xdr:rowOff>
    </xdr:from>
    <xdr:to>
      <xdr:col>5</xdr:col>
      <xdr:colOff>514350</xdr:colOff>
      <xdr:row>34</xdr:row>
      <xdr:rowOff>133350</xdr:rowOff>
    </xdr:to>
    <xdr:sp macro="" textlink="">
      <xdr:nvSpPr>
        <xdr:cNvPr id="3087" name="Line 15">
          <a:extLst>
            <a:ext uri="{FF2B5EF4-FFF2-40B4-BE49-F238E27FC236}">
              <a16:creationId xmlns:a16="http://schemas.microsoft.com/office/drawing/2014/main" id="{DB7D3E63-BB0A-492D-A3FC-55335AEFBDF8}"/>
            </a:ext>
          </a:extLst>
        </xdr:cNvPr>
        <xdr:cNvSpPr>
          <a:spLocks noChangeShapeType="1"/>
        </xdr:cNvSpPr>
      </xdr:nvSpPr>
      <xdr:spPr bwMode="auto">
        <a:xfrm flipV="1">
          <a:off x="3619500" y="7896225"/>
          <a:ext cx="38100" cy="95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41</xdr:row>
      <xdr:rowOff>38100</xdr:rowOff>
    </xdr:from>
    <xdr:to>
      <xdr:col>6</xdr:col>
      <xdr:colOff>257175</xdr:colOff>
      <xdr:row>41</xdr:row>
      <xdr:rowOff>47625</xdr:rowOff>
    </xdr:to>
    <xdr:sp macro="" textlink="">
      <xdr:nvSpPr>
        <xdr:cNvPr id="3088" name="Line 16">
          <a:extLst>
            <a:ext uri="{FF2B5EF4-FFF2-40B4-BE49-F238E27FC236}">
              <a16:creationId xmlns:a16="http://schemas.microsoft.com/office/drawing/2014/main" id="{2F1D815C-EFBB-4893-8DB4-7102C55FF435}"/>
            </a:ext>
          </a:extLst>
        </xdr:cNvPr>
        <xdr:cNvSpPr>
          <a:spLocks noChangeShapeType="1"/>
        </xdr:cNvSpPr>
      </xdr:nvSpPr>
      <xdr:spPr bwMode="auto">
        <a:xfrm flipV="1">
          <a:off x="4124325" y="9344025"/>
          <a:ext cx="38100" cy="95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Z47"/>
  <sheetViews>
    <sheetView showGridLines="0" showRowColHeaders="0" tabSelected="1" workbookViewId="0">
      <selection activeCell="G17" sqref="G17"/>
    </sheetView>
  </sheetViews>
  <sheetFormatPr defaultRowHeight="12.75" x14ac:dyDescent="0.15"/>
  <cols>
    <col min="1" max="1" width="2.375" style="3" customWidth="1"/>
    <col min="2" max="2" width="4" style="3" customWidth="1"/>
    <col min="3" max="3" width="8.625" style="11" customWidth="1"/>
    <col min="4" max="5" width="13.125" style="3" customWidth="1"/>
    <col min="6" max="6" width="10" style="3" customWidth="1"/>
    <col min="7" max="7" width="4.625" style="5" customWidth="1"/>
    <col min="8" max="8" width="4.125" style="5" customWidth="1"/>
    <col min="9" max="9" width="6.125" style="3" customWidth="1"/>
    <col min="10" max="11" width="13.125" style="3" customWidth="1"/>
    <col min="12" max="12" width="10" style="3" customWidth="1"/>
    <col min="13" max="26" width="9" style="3"/>
    <col min="27" max="27" width="10.5" style="3" hidden="1" customWidth="1"/>
    <col min="28" max="28" width="10.125" style="3" hidden="1" customWidth="1"/>
    <col min="29" max="29" width="3.5" style="3" hidden="1" customWidth="1"/>
    <col min="30" max="30" width="3.25" style="3" hidden="1" customWidth="1"/>
    <col min="31" max="31" width="3.375" style="3" hidden="1" customWidth="1"/>
    <col min="32" max="32" width="12.625" style="3" hidden="1" customWidth="1"/>
    <col min="33" max="35" width="11.625" style="3" hidden="1" customWidth="1"/>
    <col min="36" max="36" width="6.125" style="3" hidden="1" customWidth="1"/>
    <col min="37" max="37" width="4.75" style="3" hidden="1" customWidth="1"/>
    <col min="38" max="38" width="5.75" style="3" hidden="1" customWidth="1"/>
    <col min="39" max="39" width="12" style="3" hidden="1" customWidth="1"/>
    <col min="40" max="40" width="13.25" style="3" hidden="1" customWidth="1"/>
    <col min="41" max="41" width="14" style="3" hidden="1" customWidth="1"/>
    <col min="42" max="42" width="11.125" style="3" hidden="1" customWidth="1"/>
    <col min="43" max="43" width="13.125" style="3" hidden="1" customWidth="1"/>
    <col min="44" max="44" width="13" style="3" hidden="1" customWidth="1"/>
    <col min="45" max="45" width="13.625" style="3" hidden="1" customWidth="1"/>
    <col min="46" max="46" width="12.75" style="3" hidden="1" customWidth="1"/>
    <col min="47" max="47" width="11.625" style="3" hidden="1" customWidth="1"/>
    <col min="48" max="48" width="9.5" style="3" hidden="1" customWidth="1"/>
    <col min="49" max="50" width="13.125" style="3" hidden="1" customWidth="1"/>
    <col min="51" max="51" width="13.375" style="3" hidden="1" customWidth="1"/>
    <col min="52" max="52" width="7.875" style="3" hidden="1" customWidth="1"/>
    <col min="53" max="16384" width="9" style="3"/>
  </cols>
  <sheetData>
    <row r="1" spans="1:50" ht="30" customHeight="1" x14ac:dyDescent="0.15">
      <c r="C1" s="47" t="s">
        <v>54</v>
      </c>
      <c r="D1" s="46"/>
      <c r="E1" s="44"/>
    </row>
    <row r="2" spans="1:50" ht="34.5" customHeight="1" thickBot="1" x14ac:dyDescent="0.2">
      <c r="C2" s="4"/>
      <c r="D2" s="48" t="s">
        <v>12</v>
      </c>
      <c r="E2" s="49"/>
      <c r="F2" s="49"/>
      <c r="G2" s="49"/>
      <c r="H2" s="49"/>
      <c r="I2" s="49"/>
      <c r="J2" s="49"/>
      <c r="K2" s="49"/>
      <c r="L2" s="2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50" ht="18.75" customHeight="1" thickTop="1" thickBot="1" x14ac:dyDescent="0.2">
      <c r="B3" s="50" t="s">
        <v>3</v>
      </c>
      <c r="C3" s="51"/>
      <c r="D3" s="52" t="s">
        <v>50</v>
      </c>
      <c r="E3" s="53"/>
      <c r="F3" s="54"/>
      <c r="G3" s="53"/>
      <c r="H3" s="53"/>
      <c r="I3" s="53"/>
      <c r="J3" s="53"/>
      <c r="K3" s="53"/>
      <c r="L3" s="5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50" ht="16.5" customHeight="1" x14ac:dyDescent="0.15">
      <c r="A4" s="28" t="str">
        <f>IF(AND(AE4=3,AD5&lt;0),"★","")</f>
        <v/>
      </c>
      <c r="B4" s="56" t="s">
        <v>0</v>
      </c>
      <c r="C4" s="57"/>
      <c r="D4" s="58" t="s">
        <v>26</v>
      </c>
      <c r="E4" s="59"/>
      <c r="F4" s="60" t="s">
        <v>32</v>
      </c>
      <c r="G4" s="61"/>
      <c r="H4" s="62"/>
      <c r="I4" s="62"/>
      <c r="J4" s="62"/>
      <c r="K4" s="62"/>
      <c r="L4" s="6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50" ht="16.5" customHeight="1" thickBot="1" x14ac:dyDescent="0.2">
      <c r="B5" s="64"/>
      <c r="C5" s="65"/>
      <c r="D5" s="66" t="s">
        <v>13</v>
      </c>
      <c r="E5" s="67" t="s">
        <v>14</v>
      </c>
      <c r="F5" s="68"/>
      <c r="G5" s="69"/>
      <c r="H5" s="70"/>
      <c r="I5" s="71"/>
      <c r="J5" s="71"/>
      <c r="K5" s="71"/>
      <c r="L5" s="72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E5" s="3">
        <f>SUM(AA6:AC6)</f>
        <v>3</v>
      </c>
    </row>
    <row r="6" spans="1:50" s="8" customFormat="1" ht="17.25" customHeight="1" thickTop="1" x14ac:dyDescent="0.15">
      <c r="A6" s="28" t="str">
        <f>IF(AND(AE5=3,AD6&lt;0),"★","")</f>
        <v/>
      </c>
      <c r="B6" s="30" t="s">
        <v>30</v>
      </c>
      <c r="C6" s="73" t="s">
        <v>51</v>
      </c>
      <c r="D6" s="74">
        <v>175086.861</v>
      </c>
      <c r="E6" s="75">
        <v>-13987.411</v>
      </c>
      <c r="F6" s="76">
        <v>51.3</v>
      </c>
      <c r="G6" s="77"/>
      <c r="H6" s="78"/>
      <c r="I6" s="78"/>
      <c r="J6" s="79"/>
      <c r="K6" s="79"/>
      <c r="L6" s="80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8">
        <f>IF(D6&lt;&gt;"",1,0)</f>
        <v>1</v>
      </c>
      <c r="AB6" s="8">
        <f>IF(E6&lt;&gt;"",1,0)</f>
        <v>1</v>
      </c>
      <c r="AC6" s="8">
        <f>IF(F6&lt;&gt;"",1,0)</f>
        <v>1</v>
      </c>
      <c r="AD6" s="8">
        <f>IF(F6&lt;=0,-1,0)</f>
        <v>0</v>
      </c>
      <c r="AE6" s="8">
        <f>SUM(AA6:AC6)+AD6</f>
        <v>3</v>
      </c>
      <c r="AF6" s="10"/>
      <c r="AG6" s="10"/>
      <c r="AH6" s="10"/>
      <c r="AI6" s="10"/>
      <c r="AJ6" s="10"/>
      <c r="AK6" s="10"/>
      <c r="AL6" s="10"/>
    </row>
    <row r="7" spans="1:50" s="8" customFormat="1" ht="17.25" customHeight="1" thickBot="1" x14ac:dyDescent="0.2">
      <c r="B7" s="2"/>
      <c r="C7" s="81" t="s">
        <v>36</v>
      </c>
      <c r="D7" s="82" t="s">
        <v>9</v>
      </c>
      <c r="E7" s="83" t="s">
        <v>9</v>
      </c>
      <c r="F7" s="84" t="s">
        <v>36</v>
      </c>
      <c r="G7" s="85"/>
      <c r="H7" s="86"/>
      <c r="I7" s="87"/>
      <c r="J7" s="88"/>
      <c r="K7" s="88"/>
      <c r="L7" s="89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10"/>
      <c r="AB7" s="10"/>
    </row>
    <row r="8" spans="1:50" ht="14.25" customHeight="1" thickTop="1" thickBot="1" x14ac:dyDescent="0.2">
      <c r="B8" s="90"/>
      <c r="C8" s="91"/>
      <c r="D8" s="92"/>
      <c r="E8" s="93"/>
      <c r="F8" s="94"/>
      <c r="G8" s="94"/>
      <c r="H8" s="94"/>
      <c r="I8" s="94"/>
      <c r="J8" s="95"/>
      <c r="K8" s="96"/>
      <c r="L8" s="9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50" ht="16.5" customHeight="1" thickTop="1" x14ac:dyDescent="0.15">
      <c r="B9" s="97" t="s">
        <v>0</v>
      </c>
      <c r="C9" s="98"/>
      <c r="D9" s="99" t="s">
        <v>27</v>
      </c>
      <c r="E9" s="99"/>
      <c r="F9" s="100" t="s">
        <v>28</v>
      </c>
      <c r="G9" s="101" t="s">
        <v>43</v>
      </c>
      <c r="H9" s="102"/>
      <c r="I9" s="103"/>
      <c r="J9" s="101" t="s">
        <v>15</v>
      </c>
      <c r="K9" s="103"/>
      <c r="L9" s="104" t="s">
        <v>2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50" ht="16.5" customHeight="1" thickBot="1" x14ac:dyDescent="0.2">
      <c r="B10" s="64"/>
      <c r="C10" s="65"/>
      <c r="D10" s="66" t="s">
        <v>16</v>
      </c>
      <c r="E10" s="67" t="s">
        <v>17</v>
      </c>
      <c r="F10" s="105"/>
      <c r="G10" s="106" t="s">
        <v>4</v>
      </c>
      <c r="H10" s="107" t="s">
        <v>5</v>
      </c>
      <c r="I10" s="108" t="s">
        <v>6</v>
      </c>
      <c r="J10" s="109" t="s">
        <v>7</v>
      </c>
      <c r="K10" s="110" t="s">
        <v>8</v>
      </c>
      <c r="L10" s="111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F10" s="3" t="s">
        <v>18</v>
      </c>
      <c r="AG10" s="3" t="s">
        <v>19</v>
      </c>
      <c r="AH10" s="3" t="s">
        <v>41</v>
      </c>
      <c r="AJ10" s="1" t="s">
        <v>1</v>
      </c>
      <c r="AM10" s="3" t="s">
        <v>37</v>
      </c>
      <c r="AN10" s="13" t="s">
        <v>38</v>
      </c>
      <c r="AO10" s="13" t="s">
        <v>39</v>
      </c>
      <c r="AP10" s="3" t="s">
        <v>40</v>
      </c>
      <c r="AQ10" s="3" t="s">
        <v>20</v>
      </c>
      <c r="AR10" s="3" t="s">
        <v>21</v>
      </c>
      <c r="AS10" s="3" t="s">
        <v>22</v>
      </c>
      <c r="AT10" s="3" t="s">
        <v>23</v>
      </c>
      <c r="AU10" s="3" t="s">
        <v>42</v>
      </c>
    </row>
    <row r="11" spans="1:50" ht="17.25" customHeight="1" thickTop="1" x14ac:dyDescent="0.15">
      <c r="A11" s="28" t="str">
        <f>IF(AND(AE11=3,AD12&lt;0),"★","")</f>
        <v/>
      </c>
      <c r="B11" s="30" t="s">
        <v>31</v>
      </c>
      <c r="C11" s="112" t="s">
        <v>52</v>
      </c>
      <c r="D11" s="113">
        <v>175055.18799999999</v>
      </c>
      <c r="E11" s="113">
        <v>-14086.43</v>
      </c>
      <c r="F11" s="114">
        <v>78</v>
      </c>
      <c r="G11" s="115">
        <f>IF(AE12=3,AJ11,"")</f>
        <v>252</v>
      </c>
      <c r="H11" s="116">
        <f>IF(AE12=3,AK11,"")</f>
        <v>15</v>
      </c>
      <c r="I11" s="117">
        <f>IF(AE12=3,AL11,"")</f>
        <v>43.89892382769176</v>
      </c>
      <c r="J11" s="118" t="s">
        <v>34</v>
      </c>
      <c r="K11" s="31" t="s">
        <v>33</v>
      </c>
      <c r="L11" s="119">
        <f>IF(AE12=3,AM11,"")</f>
        <v>103.96124898249668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E11" s="3">
        <f>SUM(AA12:AC12)</f>
        <v>3</v>
      </c>
      <c r="AF11" s="10">
        <f>D11-$D$6</f>
        <v>-31.673000000009779</v>
      </c>
      <c r="AG11" s="10">
        <f>E11-$E$6</f>
        <v>-99.019000000000233</v>
      </c>
      <c r="AH11" s="1">
        <f t="shared" ref="AH11:AH28" si="0">ATAN2(AF11,AG11)*180/PI()</f>
        <v>-107.73780585449232</v>
      </c>
      <c r="AI11" s="1">
        <f>IF(0&gt;=AH11,AH11+360,AH11)</f>
        <v>252.26219414550769</v>
      </c>
      <c r="AJ11" s="1">
        <f>INT(AI11)</f>
        <v>252</v>
      </c>
      <c r="AK11" s="1">
        <f t="shared" ref="AK11:AK28" si="1">INT((AI11-AJ11)*60)</f>
        <v>15</v>
      </c>
      <c r="AL11" s="1">
        <f t="shared" ref="AL11:AL28" si="2">(AI11-AJ11-AK11/60)*3600</f>
        <v>43.89892382769176</v>
      </c>
      <c r="AM11" s="3">
        <f>SQRT(AF11^2+AG11^2)</f>
        <v>103.96124898249668</v>
      </c>
      <c r="AN11" s="3">
        <f>AM11^2+$F$6^2-F11^2</f>
        <v>7355.6312900006669</v>
      </c>
      <c r="AO11" s="16">
        <f>2*AM11*$F$6</f>
        <v>10666.42414560416</v>
      </c>
      <c r="AP11" s="3">
        <f>ACOS(AN11/AO11)*180/PI()</f>
        <v>46.401062652030419</v>
      </c>
      <c r="AQ11" s="3">
        <f>$D$6+$F$6*COS((AI11+AP11)*PI()/180)</f>
        <v>175111.46760385163</v>
      </c>
      <c r="AR11" s="3">
        <f>$E$6+$F$6*SIN((AI11+AP11)*PI()/180)</f>
        <v>-14032.424387418509</v>
      </c>
      <c r="AS11" s="15">
        <f>$D$6+$F$6*COS((AI11-AP11)*PI()/180)</f>
        <v>175040.69849539013</v>
      </c>
      <c r="AT11" s="15">
        <f>$E$6+$F$6*SIN((AI11-AP11)*PI()/180)</f>
        <v>-14009.787621017087</v>
      </c>
      <c r="AU11" s="15">
        <f>SQRT((AS11-AQ11)^2+(AT11-AR11)^2)</f>
        <v>74.301345247236839</v>
      </c>
      <c r="AV11" s="15"/>
      <c r="AW11" s="15"/>
      <c r="AX11" s="17"/>
    </row>
    <row r="12" spans="1:50" ht="17.25" customHeight="1" x14ac:dyDescent="0.15">
      <c r="A12" s="28"/>
      <c r="B12" s="120">
        <v>1</v>
      </c>
      <c r="C12" s="121" t="s">
        <v>10</v>
      </c>
      <c r="D12" s="122" t="s">
        <v>29</v>
      </c>
      <c r="E12" s="122" t="s">
        <v>29</v>
      </c>
      <c r="F12" s="122" t="s">
        <v>36</v>
      </c>
      <c r="G12" s="123">
        <f>IF(AE12=3,AJ12,"")</f>
        <v>298</v>
      </c>
      <c r="H12" s="124">
        <f>IF(AE12=3,AK12,"")</f>
        <v>39</v>
      </c>
      <c r="I12" s="125">
        <f>IF(AE12=3,AL12,"")</f>
        <v>47.72447112369256</v>
      </c>
      <c r="J12" s="126">
        <f>IF(AE12=3,AQ11,"")</f>
        <v>175111.46760385163</v>
      </c>
      <c r="K12" s="127">
        <f>IF(AE12=3,AR11,"")</f>
        <v>-14032.424387418509</v>
      </c>
      <c r="L12" s="32" t="s">
        <v>35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8">
        <f>IF(D11&lt;&gt;"",1,0)</f>
        <v>1</v>
      </c>
      <c r="AB12" s="8">
        <f>IF(E11&lt;&gt;"",1,0)</f>
        <v>1</v>
      </c>
      <c r="AC12" s="8">
        <f>IF(F11&lt;&gt;"",1,0)</f>
        <v>1</v>
      </c>
      <c r="AD12" s="8">
        <f>IF(OR(F11&lt;=0,AM13&lt;0,AN13&lt;0,AO13&lt;0,AM11&lt;=0),-1,0)</f>
        <v>0</v>
      </c>
      <c r="AE12" s="8">
        <f>$AE$6*AA12*AB12*AC12+AD12</f>
        <v>3</v>
      </c>
      <c r="AF12" s="10">
        <f>AQ11-$D$6</f>
        <v>24.606603851629188</v>
      </c>
      <c r="AG12" s="10">
        <f>AR11-$E$6</f>
        <v>-45.013387418508501</v>
      </c>
      <c r="AH12" s="1">
        <f t="shared" si="0"/>
        <v>-61.336743202465648</v>
      </c>
      <c r="AI12" s="1">
        <f t="shared" ref="AI12:AI28" si="3">IF(0&gt;=AH12,AH12+360,AH12)</f>
        <v>298.66325679753436</v>
      </c>
      <c r="AJ12" s="1">
        <f t="shared" ref="AJ12:AJ28" si="4">INT(AI12)</f>
        <v>298</v>
      </c>
      <c r="AK12" s="1">
        <f t="shared" si="1"/>
        <v>39</v>
      </c>
      <c r="AL12" s="1">
        <f t="shared" si="2"/>
        <v>47.72447112369256</v>
      </c>
      <c r="AM12" s="40" t="s">
        <v>44</v>
      </c>
      <c r="AN12" s="40" t="s">
        <v>45</v>
      </c>
      <c r="AO12" s="40" t="s">
        <v>46</v>
      </c>
      <c r="AV12" s="15"/>
      <c r="AW12" s="15"/>
      <c r="AX12" s="17"/>
    </row>
    <row r="13" spans="1:50" ht="17.25" customHeight="1" x14ac:dyDescent="0.15">
      <c r="A13" s="39"/>
      <c r="B13" s="128"/>
      <c r="C13" s="129" t="s">
        <v>11</v>
      </c>
      <c r="D13" s="130" t="s">
        <v>24</v>
      </c>
      <c r="E13" s="130" t="s">
        <v>24</v>
      </c>
      <c r="F13" s="130" t="s">
        <v>36</v>
      </c>
      <c r="G13" s="131">
        <f>IF(AE12=3,AJ13,"")</f>
        <v>205</v>
      </c>
      <c r="H13" s="132">
        <f>IF(AE12=3,AK13,"")</f>
        <v>51</v>
      </c>
      <c r="I13" s="133">
        <f>IF(AE12=3,AL13,"")</f>
        <v>40.073376528212144</v>
      </c>
      <c r="J13" s="134">
        <f>IF(AE12=3,AS11,"")</f>
        <v>175040.69849539013</v>
      </c>
      <c r="K13" s="135">
        <f>IF(AE12=3,AT11,"")</f>
        <v>-14009.787621017087</v>
      </c>
      <c r="L13" s="136">
        <f>IF(AE12=3,AU11,"")</f>
        <v>74.301345247236839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F13" s="10">
        <f>AS11-$D$6</f>
        <v>-46.162504609877942</v>
      </c>
      <c r="AG13" s="10">
        <f>AT11-$E$6</f>
        <v>-22.376621017087018</v>
      </c>
      <c r="AH13" s="1">
        <f t="shared" si="0"/>
        <v>-154.13886850651994</v>
      </c>
      <c r="AI13" s="1">
        <f t="shared" si="3"/>
        <v>205.86113149348006</v>
      </c>
      <c r="AJ13" s="1">
        <f t="shared" si="4"/>
        <v>205</v>
      </c>
      <c r="AK13" s="1">
        <f t="shared" si="1"/>
        <v>51</v>
      </c>
      <c r="AL13" s="1">
        <f t="shared" si="2"/>
        <v>40.073376528212144</v>
      </c>
      <c r="AM13" s="15">
        <f>$F$6+F11-AM11</f>
        <v>25.338751017503327</v>
      </c>
      <c r="AN13" s="33">
        <f>$F$6-F11+AM11</f>
        <v>77.261248982496681</v>
      </c>
      <c r="AO13" s="16">
        <f>-$F$6+F11+AM11</f>
        <v>130.66124898249669</v>
      </c>
      <c r="AP13" s="16"/>
      <c r="AQ13" s="16"/>
      <c r="AR13" s="15"/>
      <c r="AS13" s="15"/>
      <c r="AT13" s="15"/>
      <c r="AU13" s="15"/>
      <c r="AV13" s="15"/>
      <c r="AW13" s="15"/>
      <c r="AX13" s="17"/>
    </row>
    <row r="14" spans="1:50" ht="17.25" customHeight="1" x14ac:dyDescent="0.15">
      <c r="A14" s="28" t="str">
        <f>IF(AND(AE14=3,AD15&lt;0),"★","")</f>
        <v/>
      </c>
      <c r="B14" s="34" t="s">
        <v>31</v>
      </c>
      <c r="C14" s="137" t="s">
        <v>53</v>
      </c>
      <c r="D14" s="138">
        <v>175027.807</v>
      </c>
      <c r="E14" s="138">
        <v>-14284.71</v>
      </c>
      <c r="F14" s="139">
        <v>300</v>
      </c>
      <c r="G14" s="140">
        <f>IF(AE15=3,AJ14,"")</f>
        <v>258</v>
      </c>
      <c r="H14" s="141">
        <f>IF(AE15=3,AK14,"")</f>
        <v>45</v>
      </c>
      <c r="I14" s="142">
        <f>IF(AE15=3,AL14,"")</f>
        <v>55.027812383787023</v>
      </c>
      <c r="J14" s="143" t="s">
        <v>34</v>
      </c>
      <c r="K14" s="35" t="s">
        <v>33</v>
      </c>
      <c r="L14" s="144">
        <f>IF(AE15=3,AM14,"")</f>
        <v>303.10735774144428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E14" s="3">
        <f>SUM(AA15:AC15)</f>
        <v>3</v>
      </c>
      <c r="AF14" s="10">
        <f>D14-$D$6</f>
        <v>-59.054000000003725</v>
      </c>
      <c r="AG14" s="10">
        <f>E14-$E$6</f>
        <v>-297.29899999999907</v>
      </c>
      <c r="AH14" s="1">
        <f t="shared" si="0"/>
        <v>-101.23471449656009</v>
      </c>
      <c r="AI14" s="1">
        <f>IF(0&gt;=AH14,AH14+360,AH14)</f>
        <v>258.76528550343994</v>
      </c>
      <c r="AJ14" s="1">
        <f>INT(AI14)</f>
        <v>258</v>
      </c>
      <c r="AK14" s="1">
        <f t="shared" si="1"/>
        <v>45</v>
      </c>
      <c r="AL14" s="1">
        <f t="shared" si="2"/>
        <v>55.027812383787023</v>
      </c>
      <c r="AM14" s="3">
        <f>SQRT(AF14^2+AG14^2)</f>
        <v>303.10735774144428</v>
      </c>
      <c r="AN14" s="3">
        <f>AM14^2+$F$6^2-F14^2</f>
        <v>4505.7603169998765</v>
      </c>
      <c r="AO14" s="16">
        <f>2*AM14*$F$6</f>
        <v>31098.814904272182</v>
      </c>
      <c r="AP14" s="3">
        <f>ACOS(AN14/AO14)*180/PI()</f>
        <v>81.669364284104532</v>
      </c>
      <c r="AQ14" s="3">
        <f>$D$6+$F$6*COS((AI14+AP14)*PI()/180)</f>
        <v>175135.19894548005</v>
      </c>
      <c r="AR14" s="3">
        <f>$E$6+$F$6*SIN((AI14+AP14)*PI()/180)</f>
        <v>-14004.590436159819</v>
      </c>
      <c r="AS14" s="15">
        <f>$D$6+$F$6*COS((AI14-AP14)*PI()/180)</f>
        <v>175035.62688186928</v>
      </c>
      <c r="AT14" s="15">
        <f>$E$6+$F$6*SIN((AI14-AP14)*PI()/180)</f>
        <v>-13984.81193490529</v>
      </c>
      <c r="AU14" s="15">
        <f>SQRT((AS14-AQ14)^2+(AT14-AR14)^2)</f>
        <v>101.51741212020291</v>
      </c>
      <c r="AV14" s="15"/>
      <c r="AW14" s="15"/>
      <c r="AX14" s="17"/>
    </row>
    <row r="15" spans="1:50" ht="17.25" customHeight="1" x14ac:dyDescent="0.15">
      <c r="A15" s="28"/>
      <c r="B15" s="120">
        <v>2</v>
      </c>
      <c r="C15" s="121" t="s">
        <v>10</v>
      </c>
      <c r="D15" s="122" t="s">
        <v>29</v>
      </c>
      <c r="E15" s="122" t="s">
        <v>29</v>
      </c>
      <c r="F15" s="122" t="s">
        <v>36</v>
      </c>
      <c r="G15" s="123">
        <f>IF(AE15=3,AJ15,"")</f>
        <v>340</v>
      </c>
      <c r="H15" s="124">
        <f>IF(AE15=3,AK15,"")</f>
        <v>26</v>
      </c>
      <c r="I15" s="125">
        <f>IF(AE15=3,AL15,"")</f>
        <v>4.7392351772395536</v>
      </c>
      <c r="J15" s="126">
        <f>IF(AE15=3,AQ14,"")</f>
        <v>175135.19894548005</v>
      </c>
      <c r="K15" s="127">
        <f>IF(AE15=3,AR14,"")</f>
        <v>-14004.590436159819</v>
      </c>
      <c r="L15" s="32" t="s">
        <v>35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8">
        <f>IF(D14&lt;&gt;"",1,0)</f>
        <v>1</v>
      </c>
      <c r="AB15" s="8">
        <f>IF(E14&lt;&gt;"",1,0)</f>
        <v>1</v>
      </c>
      <c r="AC15" s="8">
        <f>IF(F14&lt;&gt;"",1,0)</f>
        <v>1</v>
      </c>
      <c r="AD15" s="8">
        <f>IF(OR(F14&lt;=0,AM16&lt;0,AN16&lt;0,AO16&lt;0,AM14&lt;=0),-1,0)</f>
        <v>0</v>
      </c>
      <c r="AE15" s="8">
        <f>$AE$6*AA15*AB15*AC15+AD15</f>
        <v>3</v>
      </c>
      <c r="AF15" s="10">
        <f>AQ14-$D$6</f>
        <v>48.337945480045164</v>
      </c>
      <c r="AG15" s="10">
        <f>AR14-$E$6</f>
        <v>-17.179436159818579</v>
      </c>
      <c r="AH15" s="1">
        <f t="shared" si="0"/>
        <v>-19.565350212450749</v>
      </c>
      <c r="AI15" s="1">
        <f t="shared" si="3"/>
        <v>340.43464978754923</v>
      </c>
      <c r="AJ15" s="1">
        <f t="shared" si="4"/>
        <v>340</v>
      </c>
      <c r="AK15" s="1">
        <f t="shared" si="1"/>
        <v>26</v>
      </c>
      <c r="AL15" s="1">
        <f t="shared" si="2"/>
        <v>4.7392351772395536</v>
      </c>
      <c r="AM15" s="40" t="s">
        <v>44</v>
      </c>
      <c r="AN15" s="40" t="s">
        <v>45</v>
      </c>
      <c r="AO15" s="40" t="s">
        <v>46</v>
      </c>
      <c r="AV15" s="15"/>
      <c r="AW15" s="15"/>
      <c r="AX15" s="17"/>
    </row>
    <row r="16" spans="1:50" ht="17.25" customHeight="1" x14ac:dyDescent="0.15">
      <c r="A16" s="39"/>
      <c r="B16" s="128"/>
      <c r="C16" s="129" t="s">
        <v>11</v>
      </c>
      <c r="D16" s="130" t="s">
        <v>24</v>
      </c>
      <c r="E16" s="130" t="s">
        <v>24</v>
      </c>
      <c r="F16" s="130" t="s">
        <v>36</v>
      </c>
      <c r="G16" s="131">
        <f>IF(AE15=3,AJ16,"")</f>
        <v>177</v>
      </c>
      <c r="H16" s="132">
        <f>IF(AE15=3,AK16,"")</f>
        <v>5</v>
      </c>
      <c r="I16" s="133">
        <f>IF(AE15=3,AL16,"")</f>
        <v>45.316389610081856</v>
      </c>
      <c r="J16" s="134">
        <f>IF(AE15=3,AS14,"")</f>
        <v>175035.62688186928</v>
      </c>
      <c r="K16" s="135">
        <f>IF(AE15=3,AT14,"")</f>
        <v>-13984.81193490529</v>
      </c>
      <c r="L16" s="136">
        <f>IF(AE15=3,AU14,"")</f>
        <v>101.51741212020291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F16" s="10">
        <f>AS14-$D$6</f>
        <v>-51.234118130727438</v>
      </c>
      <c r="AG16" s="10">
        <f>AT14-$E$6</f>
        <v>2.5990650947096583</v>
      </c>
      <c r="AH16" s="1">
        <f t="shared" si="0"/>
        <v>177.09592121933613</v>
      </c>
      <c r="AI16" s="1">
        <f t="shared" si="3"/>
        <v>177.09592121933613</v>
      </c>
      <c r="AJ16" s="1">
        <f t="shared" si="4"/>
        <v>177</v>
      </c>
      <c r="AK16" s="1">
        <f t="shared" si="1"/>
        <v>5</v>
      </c>
      <c r="AL16" s="1">
        <f t="shared" si="2"/>
        <v>45.316389610081856</v>
      </c>
      <c r="AM16" s="15">
        <f>$F$6+F14-AM14</f>
        <v>48.192642258555736</v>
      </c>
      <c r="AN16" s="33">
        <f>$F$6-F14+AM14</f>
        <v>54.407357741444287</v>
      </c>
      <c r="AO16" s="16">
        <f>-$F$6+F14+AM14</f>
        <v>551.80735774144432</v>
      </c>
      <c r="AP16" s="16"/>
      <c r="AQ16" s="16"/>
      <c r="AR16" s="15"/>
      <c r="AS16" s="15"/>
      <c r="AT16" s="15"/>
      <c r="AU16" s="15"/>
      <c r="AV16" s="15"/>
      <c r="AW16" s="15"/>
      <c r="AX16" s="17"/>
    </row>
    <row r="17" spans="1:50" ht="17.25" customHeight="1" x14ac:dyDescent="0.15">
      <c r="A17" s="28" t="str">
        <f>IF(AND(AE17=3,AD18&lt;0),"★","")</f>
        <v/>
      </c>
      <c r="B17" s="34" t="s">
        <v>31</v>
      </c>
      <c r="C17" s="137"/>
      <c r="D17" s="138"/>
      <c r="E17" s="138"/>
      <c r="F17" s="139"/>
      <c r="G17" s="140" t="str">
        <f>IF(AE18=3,AJ17,"")</f>
        <v/>
      </c>
      <c r="H17" s="141" t="str">
        <f>IF(AE18=3,AK17,"")</f>
        <v/>
      </c>
      <c r="I17" s="142" t="str">
        <f>IF(AE18=3,AL17,"")</f>
        <v/>
      </c>
      <c r="J17" s="143" t="s">
        <v>34</v>
      </c>
      <c r="K17" s="35" t="s">
        <v>33</v>
      </c>
      <c r="L17" s="144" t="str">
        <f>IF(AE18=3,AM17,"")</f>
        <v/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E17" s="3">
        <f>SUM(AA18:AC18)</f>
        <v>0</v>
      </c>
      <c r="AF17" s="10">
        <f>D17-$D$6</f>
        <v>-175086.861</v>
      </c>
      <c r="AG17" s="10">
        <f>E17-$E$6</f>
        <v>13987.411</v>
      </c>
      <c r="AH17" s="1">
        <f t="shared" si="0"/>
        <v>175.43243175298375</v>
      </c>
      <c r="AI17" s="1">
        <f>IF(0&gt;=AH17,AH17+360,AH17)</f>
        <v>175.43243175298375</v>
      </c>
      <c r="AJ17" s="1">
        <f>INT(AI17)</f>
        <v>175</v>
      </c>
      <c r="AK17" s="1">
        <f t="shared" si="1"/>
        <v>25</v>
      </c>
      <c r="AL17" s="1">
        <f t="shared" si="2"/>
        <v>56.754310741484851</v>
      </c>
      <c r="AM17" s="3">
        <f>SQRT(AF17^2+AG17^2)</f>
        <v>175644.68839482806</v>
      </c>
      <c r="AN17" s="3">
        <f>AM17^2+$F$6^2-F17^2</f>
        <v>30851059193.006245</v>
      </c>
      <c r="AO17" s="16">
        <f>2*AM17*$F$6</f>
        <v>18021145.029309358</v>
      </c>
      <c r="AP17" s="3" t="e">
        <f>ACOS(AN17/AO17)*180/PI()</f>
        <v>#NUM!</v>
      </c>
      <c r="AQ17" s="3" t="e">
        <f>$D$6+$F$6*COS((AI17+AP17)*PI()/180)</f>
        <v>#NUM!</v>
      </c>
      <c r="AR17" s="3" t="e">
        <f>$E$6+$F$6*SIN((AI17+AP17)*PI()/180)</f>
        <v>#NUM!</v>
      </c>
      <c r="AS17" s="15" t="e">
        <f>$D$6+$F$6*COS((AI17-AP17)*PI()/180)</f>
        <v>#NUM!</v>
      </c>
      <c r="AT17" s="15" t="e">
        <f>$E$6+$F$6*SIN((AI17-AP17)*PI()/180)</f>
        <v>#NUM!</v>
      </c>
      <c r="AU17" s="15" t="e">
        <f>SQRT((AS17-AQ17)^2+(AT17-AR17)^2)</f>
        <v>#NUM!</v>
      </c>
      <c r="AV17" s="15"/>
      <c r="AW17" s="15"/>
      <c r="AX17" s="17"/>
    </row>
    <row r="18" spans="1:50" ht="17.25" customHeight="1" x14ac:dyDescent="0.15">
      <c r="A18" s="28"/>
      <c r="B18" s="120">
        <v>3</v>
      </c>
      <c r="C18" s="121" t="s">
        <v>10</v>
      </c>
      <c r="D18" s="122" t="s">
        <v>29</v>
      </c>
      <c r="E18" s="122" t="s">
        <v>29</v>
      </c>
      <c r="F18" s="122" t="s">
        <v>36</v>
      </c>
      <c r="G18" s="123" t="str">
        <f>IF(AE18=3,AJ18,"")</f>
        <v/>
      </c>
      <c r="H18" s="124" t="str">
        <f>IF(AE18=3,AK18,"")</f>
        <v/>
      </c>
      <c r="I18" s="125" t="str">
        <f>IF(AE18=3,AL18,"")</f>
        <v/>
      </c>
      <c r="J18" s="126" t="str">
        <f>IF(AE18=3,AQ17,"")</f>
        <v/>
      </c>
      <c r="K18" s="127" t="str">
        <f>IF(AE18=3,AR17,"")</f>
        <v/>
      </c>
      <c r="L18" s="32" t="s">
        <v>35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8">
        <f>IF(D17&lt;&gt;"",1,0)</f>
        <v>0</v>
      </c>
      <c r="AB18" s="8">
        <f>IF(E17&lt;&gt;"",1,0)</f>
        <v>0</v>
      </c>
      <c r="AC18" s="8">
        <f>IF(F17&lt;&gt;"",1,0)</f>
        <v>0</v>
      </c>
      <c r="AD18" s="8">
        <f>IF(OR(F17&lt;=0,AM19&lt;0,AN19&lt;0,AO19&lt;0,AM17&lt;=0),-1,0)</f>
        <v>-1</v>
      </c>
      <c r="AE18" s="8">
        <f>$AE$6*AA18*AB18*AC18+AD18</f>
        <v>-1</v>
      </c>
      <c r="AF18" s="10" t="e">
        <f>AQ17-$D$6</f>
        <v>#NUM!</v>
      </c>
      <c r="AG18" s="10" t="e">
        <f>AR17-$E$6</f>
        <v>#NUM!</v>
      </c>
      <c r="AH18" s="1" t="e">
        <f t="shared" si="0"/>
        <v>#NUM!</v>
      </c>
      <c r="AI18" s="1" t="e">
        <f t="shared" si="3"/>
        <v>#NUM!</v>
      </c>
      <c r="AJ18" s="1" t="e">
        <f t="shared" si="4"/>
        <v>#NUM!</v>
      </c>
      <c r="AK18" s="1" t="e">
        <f t="shared" si="1"/>
        <v>#NUM!</v>
      </c>
      <c r="AL18" s="1" t="e">
        <f t="shared" si="2"/>
        <v>#NUM!</v>
      </c>
      <c r="AM18" s="40" t="s">
        <v>44</v>
      </c>
      <c r="AN18" s="40" t="s">
        <v>45</v>
      </c>
      <c r="AO18" s="40" t="s">
        <v>46</v>
      </c>
      <c r="AV18" s="15"/>
      <c r="AW18" s="15"/>
      <c r="AX18" s="17"/>
    </row>
    <row r="19" spans="1:50" ht="17.25" customHeight="1" x14ac:dyDescent="0.15">
      <c r="A19" s="39"/>
      <c r="B19" s="128"/>
      <c r="C19" s="129" t="s">
        <v>11</v>
      </c>
      <c r="D19" s="130" t="s">
        <v>24</v>
      </c>
      <c r="E19" s="130" t="s">
        <v>24</v>
      </c>
      <c r="F19" s="130" t="s">
        <v>36</v>
      </c>
      <c r="G19" s="131" t="str">
        <f>IF(AE18=3,AJ19,"")</f>
        <v/>
      </c>
      <c r="H19" s="132" t="str">
        <f>IF(AE18=3,AK19,"")</f>
        <v/>
      </c>
      <c r="I19" s="133" t="str">
        <f>IF(AE18=3,AL19,"")</f>
        <v/>
      </c>
      <c r="J19" s="134" t="str">
        <f>IF(AE18=3,AS17,"")</f>
        <v/>
      </c>
      <c r="K19" s="135" t="str">
        <f>IF(AE18=3,AT17,"")</f>
        <v/>
      </c>
      <c r="L19" s="136" t="str">
        <f>IF(AE18=3,AU17,"")</f>
        <v/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F19" s="10" t="e">
        <f>AS17-$D$6</f>
        <v>#NUM!</v>
      </c>
      <c r="AG19" s="10" t="e">
        <f>AT17-$E$6</f>
        <v>#NUM!</v>
      </c>
      <c r="AH19" s="1" t="e">
        <f t="shared" si="0"/>
        <v>#NUM!</v>
      </c>
      <c r="AI19" s="1" t="e">
        <f t="shared" si="3"/>
        <v>#NUM!</v>
      </c>
      <c r="AJ19" s="1" t="e">
        <f t="shared" si="4"/>
        <v>#NUM!</v>
      </c>
      <c r="AK19" s="1" t="e">
        <f t="shared" si="1"/>
        <v>#NUM!</v>
      </c>
      <c r="AL19" s="1" t="e">
        <f t="shared" si="2"/>
        <v>#NUM!</v>
      </c>
      <c r="AM19" s="15">
        <f>$F$6+F17-AM17</f>
        <v>-175593.38839482807</v>
      </c>
      <c r="AN19" s="33">
        <f>$F$6-F17+AM17</f>
        <v>175695.98839482805</v>
      </c>
      <c r="AO19" s="16">
        <f>-$F$6+F17+AM17</f>
        <v>175593.38839482807</v>
      </c>
      <c r="AP19" s="16"/>
      <c r="AQ19" s="16"/>
      <c r="AR19" s="15"/>
      <c r="AS19" s="15"/>
      <c r="AT19" s="15"/>
      <c r="AU19" s="15"/>
      <c r="AV19" s="15"/>
      <c r="AW19" s="15"/>
      <c r="AX19" s="17"/>
    </row>
    <row r="20" spans="1:50" ht="17.25" customHeight="1" x14ac:dyDescent="0.15">
      <c r="A20" s="28" t="str">
        <f>IF(AND(AE20=3,AD21&lt;0),"★","")</f>
        <v/>
      </c>
      <c r="B20" s="34" t="s">
        <v>31</v>
      </c>
      <c r="C20" s="137"/>
      <c r="D20" s="138"/>
      <c r="E20" s="138"/>
      <c r="F20" s="139"/>
      <c r="G20" s="140" t="str">
        <f>IF(AE21=3,AJ20,"")</f>
        <v/>
      </c>
      <c r="H20" s="141" t="str">
        <f>IF(AE21=3,AK20,"")</f>
        <v/>
      </c>
      <c r="I20" s="142" t="str">
        <f>IF(AE21=3,AL20,"")</f>
        <v/>
      </c>
      <c r="J20" s="143" t="s">
        <v>34</v>
      </c>
      <c r="K20" s="35" t="s">
        <v>33</v>
      </c>
      <c r="L20" s="144" t="str">
        <f>IF(AE21=3,AM20,"")</f>
        <v/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E20" s="3">
        <f>SUM(AA21:AC21)</f>
        <v>0</v>
      </c>
      <c r="AF20" s="10">
        <f>D20-$D$6</f>
        <v>-175086.861</v>
      </c>
      <c r="AG20" s="10">
        <f>E20-$E$6</f>
        <v>13987.411</v>
      </c>
      <c r="AH20" s="1">
        <f t="shared" si="0"/>
        <v>175.43243175298375</v>
      </c>
      <c r="AI20" s="1">
        <f>IF(0&gt;=AH20,AH20+360,AH20)</f>
        <v>175.43243175298375</v>
      </c>
      <c r="AJ20" s="1">
        <f>INT(AI20)</f>
        <v>175</v>
      </c>
      <c r="AK20" s="1">
        <f t="shared" si="1"/>
        <v>25</v>
      </c>
      <c r="AL20" s="1">
        <f t="shared" si="2"/>
        <v>56.754310741484851</v>
      </c>
      <c r="AM20" s="3">
        <f>SQRT(AF20^2+AG20^2)</f>
        <v>175644.68839482806</v>
      </c>
      <c r="AN20" s="3">
        <f>AM20^2+$F$6^2-F20^2</f>
        <v>30851059193.006245</v>
      </c>
      <c r="AO20" s="16">
        <f>2*AM20*$F$6</f>
        <v>18021145.029309358</v>
      </c>
      <c r="AP20" s="3" t="e">
        <f>ACOS(AN20/AO20)*180/PI()</f>
        <v>#NUM!</v>
      </c>
      <c r="AQ20" s="3" t="e">
        <f>$D$6+$F$6*COS((AI20+AP20)*PI()/180)</f>
        <v>#NUM!</v>
      </c>
      <c r="AR20" s="3" t="e">
        <f>$E$6+$F$6*SIN((AI20+AP20)*PI()/180)</f>
        <v>#NUM!</v>
      </c>
      <c r="AS20" s="15" t="e">
        <f>$D$6+$F$6*COS((AI20-AP20)*PI()/180)</f>
        <v>#NUM!</v>
      </c>
      <c r="AT20" s="15" t="e">
        <f>$E$6+$F$6*SIN((AI20-AP20)*PI()/180)</f>
        <v>#NUM!</v>
      </c>
      <c r="AU20" s="15" t="e">
        <f>SQRT((AS20-AQ20)^2+(AT20-AR20)^2)</f>
        <v>#NUM!</v>
      </c>
      <c r="AV20" s="15"/>
      <c r="AW20" s="15"/>
      <c r="AX20" s="17"/>
    </row>
    <row r="21" spans="1:50" ht="17.25" customHeight="1" x14ac:dyDescent="0.15">
      <c r="A21" s="28"/>
      <c r="B21" s="120">
        <v>4</v>
      </c>
      <c r="C21" s="121" t="s">
        <v>10</v>
      </c>
      <c r="D21" s="122" t="s">
        <v>29</v>
      </c>
      <c r="E21" s="122" t="s">
        <v>29</v>
      </c>
      <c r="F21" s="122" t="s">
        <v>36</v>
      </c>
      <c r="G21" s="123" t="str">
        <f>IF(AE21=3,AJ21,"")</f>
        <v/>
      </c>
      <c r="H21" s="124" t="str">
        <f>IF(AE21=3,AK21,"")</f>
        <v/>
      </c>
      <c r="I21" s="125" t="str">
        <f>IF(AE21=3,AL21,"")</f>
        <v/>
      </c>
      <c r="J21" s="126" t="str">
        <f>IF(AE21=3,AQ20,"")</f>
        <v/>
      </c>
      <c r="K21" s="127" t="str">
        <f>IF(AE21=3,AR20,"")</f>
        <v/>
      </c>
      <c r="L21" s="32" t="s">
        <v>35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8">
        <f>IF(D20&lt;&gt;"",1,0)</f>
        <v>0</v>
      </c>
      <c r="AB21" s="8">
        <f>IF(E20&lt;&gt;"",1,0)</f>
        <v>0</v>
      </c>
      <c r="AC21" s="8">
        <f>IF(F20&lt;&gt;"",1,0)</f>
        <v>0</v>
      </c>
      <c r="AD21" s="8">
        <f>IF(OR(F20&lt;=0,AM22&lt;0,AN22&lt;0,AO22&lt;0,AM20&lt;=0),-1,0)</f>
        <v>-1</v>
      </c>
      <c r="AE21" s="8">
        <f>$AE$6*AA21*AB21*AC21+AD21</f>
        <v>-1</v>
      </c>
      <c r="AF21" s="10" t="e">
        <f>AQ20-$D$6</f>
        <v>#NUM!</v>
      </c>
      <c r="AG21" s="10" t="e">
        <f>AR20-$E$6</f>
        <v>#NUM!</v>
      </c>
      <c r="AH21" s="1" t="e">
        <f t="shared" si="0"/>
        <v>#NUM!</v>
      </c>
      <c r="AI21" s="1" t="e">
        <f t="shared" si="3"/>
        <v>#NUM!</v>
      </c>
      <c r="AJ21" s="1" t="e">
        <f t="shared" si="4"/>
        <v>#NUM!</v>
      </c>
      <c r="AK21" s="1" t="e">
        <f t="shared" si="1"/>
        <v>#NUM!</v>
      </c>
      <c r="AL21" s="1" t="e">
        <f t="shared" si="2"/>
        <v>#NUM!</v>
      </c>
      <c r="AM21" s="40" t="s">
        <v>44</v>
      </c>
      <c r="AN21" s="40" t="s">
        <v>45</v>
      </c>
      <c r="AO21" s="40" t="s">
        <v>46</v>
      </c>
      <c r="AV21" s="15"/>
      <c r="AW21" s="15"/>
      <c r="AX21" s="17"/>
    </row>
    <row r="22" spans="1:50" ht="17.25" customHeight="1" x14ac:dyDescent="0.15">
      <c r="A22" s="39"/>
      <c r="B22" s="128"/>
      <c r="C22" s="129" t="s">
        <v>11</v>
      </c>
      <c r="D22" s="130" t="s">
        <v>24</v>
      </c>
      <c r="E22" s="130" t="s">
        <v>24</v>
      </c>
      <c r="F22" s="130" t="s">
        <v>36</v>
      </c>
      <c r="G22" s="131" t="str">
        <f>IF(AE21=3,AJ22,"")</f>
        <v/>
      </c>
      <c r="H22" s="132" t="str">
        <f>IF(AE21=3,AK22,"")</f>
        <v/>
      </c>
      <c r="I22" s="133" t="str">
        <f>IF(AE21=3,AL22,"")</f>
        <v/>
      </c>
      <c r="J22" s="134" t="str">
        <f>IF(AE21=3,AS20,"")</f>
        <v/>
      </c>
      <c r="K22" s="135" t="str">
        <f>IF(AE21=3,AT20,"")</f>
        <v/>
      </c>
      <c r="L22" s="136" t="str">
        <f>IF(AE21=3,AU20,"")</f>
        <v/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F22" s="10" t="e">
        <f>AS20-$D$6</f>
        <v>#NUM!</v>
      </c>
      <c r="AG22" s="10" t="e">
        <f>AT20-$E$6</f>
        <v>#NUM!</v>
      </c>
      <c r="AH22" s="1" t="e">
        <f t="shared" si="0"/>
        <v>#NUM!</v>
      </c>
      <c r="AI22" s="1" t="e">
        <f t="shared" si="3"/>
        <v>#NUM!</v>
      </c>
      <c r="AJ22" s="1" t="e">
        <f t="shared" si="4"/>
        <v>#NUM!</v>
      </c>
      <c r="AK22" s="1" t="e">
        <f t="shared" si="1"/>
        <v>#NUM!</v>
      </c>
      <c r="AL22" s="1" t="e">
        <f t="shared" si="2"/>
        <v>#NUM!</v>
      </c>
      <c r="AM22" s="15">
        <f>$F$6+F20-AM20</f>
        <v>-175593.38839482807</v>
      </c>
      <c r="AN22" s="33">
        <f>$F$6-F20+AM20</f>
        <v>175695.98839482805</v>
      </c>
      <c r="AO22" s="16">
        <f>-$F$6+F20+AM20</f>
        <v>175593.38839482807</v>
      </c>
      <c r="AP22" s="16"/>
      <c r="AQ22" s="16"/>
      <c r="AR22" s="15"/>
      <c r="AS22" s="15"/>
      <c r="AT22" s="15"/>
      <c r="AU22" s="15"/>
      <c r="AV22" s="15"/>
      <c r="AW22" s="15"/>
      <c r="AX22" s="17"/>
    </row>
    <row r="23" spans="1:50" ht="17.25" customHeight="1" x14ac:dyDescent="0.15">
      <c r="A23" s="28" t="str">
        <f>IF(AND(AE23=3,AD24&lt;0),"★","")</f>
        <v/>
      </c>
      <c r="B23" s="34" t="s">
        <v>31</v>
      </c>
      <c r="C23" s="137"/>
      <c r="D23" s="138"/>
      <c r="E23" s="138"/>
      <c r="F23" s="139"/>
      <c r="G23" s="140" t="str">
        <f>IF(AE24=3,AJ23,"")</f>
        <v/>
      </c>
      <c r="H23" s="141" t="str">
        <f>IF(AE24=3,AK23,"")</f>
        <v/>
      </c>
      <c r="I23" s="142" t="str">
        <f>IF(AE24=3,AL23,"")</f>
        <v/>
      </c>
      <c r="J23" s="143" t="s">
        <v>34</v>
      </c>
      <c r="K23" s="35" t="s">
        <v>33</v>
      </c>
      <c r="L23" s="144" t="str">
        <f>IF(AE24=3,AM23,"")</f>
        <v/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E23" s="3">
        <f>SUM(AA24:AC24)</f>
        <v>0</v>
      </c>
      <c r="AF23" s="10">
        <f>D23-$D$6</f>
        <v>-175086.861</v>
      </c>
      <c r="AG23" s="10">
        <f>E23-$E$6</f>
        <v>13987.411</v>
      </c>
      <c r="AH23" s="1">
        <f t="shared" si="0"/>
        <v>175.43243175298375</v>
      </c>
      <c r="AI23" s="1">
        <f>IF(0&gt;=AH23,AH23+360,AH23)</f>
        <v>175.43243175298375</v>
      </c>
      <c r="AJ23" s="1">
        <f>INT(AI23)</f>
        <v>175</v>
      </c>
      <c r="AK23" s="1">
        <f t="shared" si="1"/>
        <v>25</v>
      </c>
      <c r="AL23" s="1">
        <f t="shared" si="2"/>
        <v>56.754310741484851</v>
      </c>
      <c r="AM23" s="3">
        <f>SQRT(AF23^2+AG23^2)</f>
        <v>175644.68839482806</v>
      </c>
      <c r="AN23" s="3">
        <f>AM23^2+$F$6^2-F23^2</f>
        <v>30851059193.006245</v>
      </c>
      <c r="AO23" s="16">
        <f>2*AM23*$F$6</f>
        <v>18021145.029309358</v>
      </c>
      <c r="AP23" s="3" t="e">
        <f>ACOS(AN23/AO23)*180/PI()</f>
        <v>#NUM!</v>
      </c>
      <c r="AQ23" s="3" t="e">
        <f>$D$6+$F$6*COS((AI23+AP23)*PI()/180)</f>
        <v>#NUM!</v>
      </c>
      <c r="AR23" s="3" t="e">
        <f>$E$6+$F$6*SIN((AI23+AP23)*PI()/180)</f>
        <v>#NUM!</v>
      </c>
      <c r="AS23" s="15" t="e">
        <f>$D$6+$F$6*COS((AI23-AP23)*PI()/180)</f>
        <v>#NUM!</v>
      </c>
      <c r="AT23" s="15" t="e">
        <f>$E$6+$F$6*SIN((AI23-AP23)*PI()/180)</f>
        <v>#NUM!</v>
      </c>
      <c r="AU23" s="15" t="e">
        <f>SQRT((AS23-AQ23)^2+(AT23-AR23)^2)</f>
        <v>#NUM!</v>
      </c>
      <c r="AV23" s="15"/>
      <c r="AW23" s="15"/>
      <c r="AX23" s="17"/>
    </row>
    <row r="24" spans="1:50" ht="17.25" customHeight="1" x14ac:dyDescent="0.15">
      <c r="A24" s="28"/>
      <c r="B24" s="120">
        <v>5</v>
      </c>
      <c r="C24" s="121" t="s">
        <v>10</v>
      </c>
      <c r="D24" s="122" t="s">
        <v>29</v>
      </c>
      <c r="E24" s="122" t="s">
        <v>29</v>
      </c>
      <c r="F24" s="122" t="s">
        <v>36</v>
      </c>
      <c r="G24" s="123" t="str">
        <f>IF(AE24=3,AJ24,"")</f>
        <v/>
      </c>
      <c r="H24" s="124" t="str">
        <f>IF(AE24=3,AK24,"")</f>
        <v/>
      </c>
      <c r="I24" s="125" t="str">
        <f>IF(AE24=3,AL24,"")</f>
        <v/>
      </c>
      <c r="J24" s="126" t="str">
        <f>IF(AE24=3,AQ23,"")</f>
        <v/>
      </c>
      <c r="K24" s="127" t="str">
        <f>IF(AE24=3,AR23,"")</f>
        <v/>
      </c>
      <c r="L24" s="32" t="s">
        <v>35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8">
        <f>IF(D23&lt;&gt;"",1,0)</f>
        <v>0</v>
      </c>
      <c r="AB24" s="8">
        <f>IF(E23&lt;&gt;"",1,0)</f>
        <v>0</v>
      </c>
      <c r="AC24" s="8">
        <f>IF(F23&lt;&gt;"",1,0)</f>
        <v>0</v>
      </c>
      <c r="AD24" s="8">
        <f>IF(OR(F23&lt;=0,AM25&lt;0,AN25&lt;0,AO25&lt;0,AM23&lt;=0),-1,0)</f>
        <v>-1</v>
      </c>
      <c r="AE24" s="8">
        <f>$AE$6*AA24*AB24*AC24+AD24</f>
        <v>-1</v>
      </c>
      <c r="AF24" s="10" t="e">
        <f>AQ23-$D$6</f>
        <v>#NUM!</v>
      </c>
      <c r="AG24" s="10" t="e">
        <f>AR23-$E$6</f>
        <v>#NUM!</v>
      </c>
      <c r="AH24" s="1" t="e">
        <f t="shared" si="0"/>
        <v>#NUM!</v>
      </c>
      <c r="AI24" s="1" t="e">
        <f t="shared" si="3"/>
        <v>#NUM!</v>
      </c>
      <c r="AJ24" s="1" t="e">
        <f t="shared" si="4"/>
        <v>#NUM!</v>
      </c>
      <c r="AK24" s="1" t="e">
        <f t="shared" si="1"/>
        <v>#NUM!</v>
      </c>
      <c r="AL24" s="1" t="e">
        <f t="shared" si="2"/>
        <v>#NUM!</v>
      </c>
      <c r="AM24" s="40" t="s">
        <v>44</v>
      </c>
      <c r="AN24" s="40" t="s">
        <v>45</v>
      </c>
      <c r="AO24" s="40" t="s">
        <v>46</v>
      </c>
      <c r="AV24" s="15"/>
      <c r="AW24" s="15"/>
      <c r="AX24" s="17"/>
    </row>
    <row r="25" spans="1:50" ht="17.25" customHeight="1" x14ac:dyDescent="0.15">
      <c r="A25" s="39"/>
      <c r="B25" s="128"/>
      <c r="C25" s="129" t="s">
        <v>11</v>
      </c>
      <c r="D25" s="130" t="s">
        <v>24</v>
      </c>
      <c r="E25" s="130" t="s">
        <v>24</v>
      </c>
      <c r="F25" s="130" t="s">
        <v>36</v>
      </c>
      <c r="G25" s="131" t="str">
        <f>IF(AE24=3,AJ25,"")</f>
        <v/>
      </c>
      <c r="H25" s="132" t="str">
        <f>IF(AE24=3,AK25,"")</f>
        <v/>
      </c>
      <c r="I25" s="133" t="str">
        <f>IF(AE24=3,AL25,"")</f>
        <v/>
      </c>
      <c r="J25" s="134" t="str">
        <f>IF(AE24=3,AS23,"")</f>
        <v/>
      </c>
      <c r="K25" s="135" t="str">
        <f>IF(AE24=3,AT23,"")</f>
        <v/>
      </c>
      <c r="L25" s="136" t="str">
        <f>IF(AE24=3,AU23,"")</f>
        <v/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F25" s="10" t="e">
        <f>AS23-$D$6</f>
        <v>#NUM!</v>
      </c>
      <c r="AG25" s="10" t="e">
        <f>AT23-$E$6</f>
        <v>#NUM!</v>
      </c>
      <c r="AH25" s="1" t="e">
        <f t="shared" si="0"/>
        <v>#NUM!</v>
      </c>
      <c r="AI25" s="1" t="e">
        <f t="shared" si="3"/>
        <v>#NUM!</v>
      </c>
      <c r="AJ25" s="1" t="e">
        <f t="shared" si="4"/>
        <v>#NUM!</v>
      </c>
      <c r="AK25" s="1" t="e">
        <f t="shared" si="1"/>
        <v>#NUM!</v>
      </c>
      <c r="AL25" s="1" t="e">
        <f t="shared" si="2"/>
        <v>#NUM!</v>
      </c>
      <c r="AM25" s="15">
        <f>$F$6+F23-AM23</f>
        <v>-175593.38839482807</v>
      </c>
      <c r="AN25" s="33">
        <f>$F$6-F23+AM23</f>
        <v>175695.98839482805</v>
      </c>
      <c r="AO25" s="16">
        <f>-$F$6+F23+AM23</f>
        <v>175593.38839482807</v>
      </c>
      <c r="AP25" s="16"/>
      <c r="AQ25" s="16"/>
      <c r="AR25" s="15"/>
      <c r="AS25" s="15"/>
      <c r="AT25" s="15"/>
      <c r="AU25" s="15"/>
      <c r="AV25" s="15"/>
      <c r="AW25" s="15"/>
      <c r="AX25" s="17"/>
    </row>
    <row r="26" spans="1:50" ht="17.25" customHeight="1" x14ac:dyDescent="0.15">
      <c r="A26" s="28" t="str">
        <f>IF(AND(AE26=3,AD27&lt;0),"★","")</f>
        <v/>
      </c>
      <c r="B26" s="34" t="s">
        <v>31</v>
      </c>
      <c r="C26" s="137"/>
      <c r="D26" s="138"/>
      <c r="E26" s="138"/>
      <c r="F26" s="139"/>
      <c r="G26" s="140" t="str">
        <f>IF(AE27=3,AJ26,"")</f>
        <v/>
      </c>
      <c r="H26" s="141" t="str">
        <f>IF(AE27=3,AK26,"")</f>
        <v/>
      </c>
      <c r="I26" s="142" t="str">
        <f>IF(AE27=3,AL26,"")</f>
        <v/>
      </c>
      <c r="J26" s="143" t="s">
        <v>34</v>
      </c>
      <c r="K26" s="35" t="s">
        <v>33</v>
      </c>
      <c r="L26" s="144" t="str">
        <f>IF(AE27=3,AM26,"")</f>
        <v/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E26" s="3">
        <f>SUM(AA27:AC27)</f>
        <v>0</v>
      </c>
      <c r="AF26" s="10">
        <f>D26-$D$6</f>
        <v>-175086.861</v>
      </c>
      <c r="AG26" s="10">
        <f>E26-$E$6</f>
        <v>13987.411</v>
      </c>
      <c r="AH26" s="1">
        <f t="shared" si="0"/>
        <v>175.43243175298375</v>
      </c>
      <c r="AI26" s="1">
        <f>IF(0&gt;=AH26,AH26+360,AH26)</f>
        <v>175.43243175298375</v>
      </c>
      <c r="AJ26" s="1">
        <f>INT(AI26)</f>
        <v>175</v>
      </c>
      <c r="AK26" s="1">
        <f t="shared" si="1"/>
        <v>25</v>
      </c>
      <c r="AL26" s="1">
        <f t="shared" si="2"/>
        <v>56.754310741484851</v>
      </c>
      <c r="AM26" s="3">
        <f>SQRT(AF26^2+AG26^2)</f>
        <v>175644.68839482806</v>
      </c>
      <c r="AN26" s="3">
        <f>AM26^2+$F$6^2-F26^2</f>
        <v>30851059193.006245</v>
      </c>
      <c r="AO26" s="16">
        <f>2*AM26*$F$6</f>
        <v>18021145.029309358</v>
      </c>
      <c r="AP26" s="3" t="e">
        <f>ACOS(AN26/AO26)*180/PI()</f>
        <v>#NUM!</v>
      </c>
      <c r="AQ26" s="3" t="e">
        <f>$D$6+$F$6*COS((AI26+AP26)*PI()/180)</f>
        <v>#NUM!</v>
      </c>
      <c r="AR26" s="3" t="e">
        <f>$E$6+$F$6*SIN((AI26+AP26)*PI()/180)</f>
        <v>#NUM!</v>
      </c>
      <c r="AS26" s="15" t="e">
        <f>$D$6+$F$6*COS((AI26-AP26)*PI()/180)</f>
        <v>#NUM!</v>
      </c>
      <c r="AT26" s="15" t="e">
        <f>$E$6+$F$6*SIN((AI26-AP26)*PI()/180)</f>
        <v>#NUM!</v>
      </c>
      <c r="AU26" s="15" t="e">
        <f>SQRT((AS26-AQ26)^2+(AT26-AR26)^2)</f>
        <v>#NUM!</v>
      </c>
      <c r="AV26" s="15"/>
      <c r="AW26" s="15"/>
      <c r="AX26" s="17"/>
    </row>
    <row r="27" spans="1:50" ht="17.25" customHeight="1" x14ac:dyDescent="0.15">
      <c r="A27" s="28"/>
      <c r="B27" s="120">
        <v>6</v>
      </c>
      <c r="C27" s="121" t="s">
        <v>10</v>
      </c>
      <c r="D27" s="122" t="s">
        <v>29</v>
      </c>
      <c r="E27" s="122" t="s">
        <v>29</v>
      </c>
      <c r="F27" s="122" t="s">
        <v>36</v>
      </c>
      <c r="G27" s="123" t="str">
        <f>IF(AE27=3,AJ27,"")</f>
        <v/>
      </c>
      <c r="H27" s="124" t="str">
        <f>IF(AE27=3,AK27,"")</f>
        <v/>
      </c>
      <c r="I27" s="125" t="str">
        <f>IF(AE27=3,AL27,"")</f>
        <v/>
      </c>
      <c r="J27" s="126" t="str">
        <f>IF(AE27=3,AQ26,"")</f>
        <v/>
      </c>
      <c r="K27" s="127" t="str">
        <f>IF(AE27=3,AR26,"")</f>
        <v/>
      </c>
      <c r="L27" s="32" t="s">
        <v>35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8">
        <f>IF(D26&lt;&gt;"",1,0)</f>
        <v>0</v>
      </c>
      <c r="AB27" s="8">
        <f>IF(E26&lt;&gt;"",1,0)</f>
        <v>0</v>
      </c>
      <c r="AC27" s="8">
        <f>IF(F26&lt;&gt;"",1,0)</f>
        <v>0</v>
      </c>
      <c r="AD27" s="8">
        <f>IF(OR(F26&lt;=0,AM28&lt;0,AN28&lt;0,AO28&lt;0,AM26&lt;=0),-1,0)</f>
        <v>-1</v>
      </c>
      <c r="AE27" s="8">
        <f>$AE$6*AA27*AB27*AC27+AD27</f>
        <v>-1</v>
      </c>
      <c r="AF27" s="10" t="e">
        <f>AQ26-$D$6</f>
        <v>#NUM!</v>
      </c>
      <c r="AG27" s="10" t="e">
        <f>AR26-$E$6</f>
        <v>#NUM!</v>
      </c>
      <c r="AH27" s="1" t="e">
        <f t="shared" si="0"/>
        <v>#NUM!</v>
      </c>
      <c r="AI27" s="1" t="e">
        <f t="shared" si="3"/>
        <v>#NUM!</v>
      </c>
      <c r="AJ27" s="1" t="e">
        <f t="shared" si="4"/>
        <v>#NUM!</v>
      </c>
      <c r="AK27" s="1" t="e">
        <f t="shared" si="1"/>
        <v>#NUM!</v>
      </c>
      <c r="AL27" s="1" t="e">
        <f t="shared" si="2"/>
        <v>#NUM!</v>
      </c>
      <c r="AM27" s="40" t="s">
        <v>44</v>
      </c>
      <c r="AN27" s="40" t="s">
        <v>45</v>
      </c>
      <c r="AO27" s="40" t="s">
        <v>46</v>
      </c>
      <c r="AV27" s="15"/>
      <c r="AW27" s="15"/>
      <c r="AX27" s="17"/>
    </row>
    <row r="28" spans="1:50" ht="17.25" customHeight="1" thickBot="1" x14ac:dyDescent="0.2">
      <c r="A28" s="39"/>
      <c r="B28" s="145"/>
      <c r="C28" s="146" t="s">
        <v>11</v>
      </c>
      <c r="D28" s="147" t="s">
        <v>24</v>
      </c>
      <c r="E28" s="147" t="s">
        <v>24</v>
      </c>
      <c r="F28" s="148" t="s">
        <v>36</v>
      </c>
      <c r="G28" s="149" t="str">
        <f>IF(AE27=3,AJ28,"")</f>
        <v/>
      </c>
      <c r="H28" s="150" t="str">
        <f>IF(AE27=3,AK28,"")</f>
        <v/>
      </c>
      <c r="I28" s="151" t="str">
        <f>IF(AE27=3,AL28,"")</f>
        <v/>
      </c>
      <c r="J28" s="152" t="str">
        <f>IF(AE27=3,AS26,"")</f>
        <v/>
      </c>
      <c r="K28" s="153" t="str">
        <f>IF(AE27=3,AT26,"")</f>
        <v/>
      </c>
      <c r="L28" s="154" t="str">
        <f>IF(AE27=3,AU26,"")</f>
        <v/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F28" s="10" t="e">
        <f>AS26-$D$6</f>
        <v>#NUM!</v>
      </c>
      <c r="AG28" s="10" t="e">
        <f>AT26-$E$6</f>
        <v>#NUM!</v>
      </c>
      <c r="AH28" s="1" t="e">
        <f t="shared" si="0"/>
        <v>#NUM!</v>
      </c>
      <c r="AI28" s="1" t="e">
        <f t="shared" si="3"/>
        <v>#NUM!</v>
      </c>
      <c r="AJ28" s="1" t="e">
        <f t="shared" si="4"/>
        <v>#NUM!</v>
      </c>
      <c r="AK28" s="1" t="e">
        <f t="shared" si="1"/>
        <v>#NUM!</v>
      </c>
      <c r="AL28" s="1" t="e">
        <f t="shared" si="2"/>
        <v>#NUM!</v>
      </c>
      <c r="AM28" s="15">
        <f>$F$6+F26-AM26</f>
        <v>-175593.38839482807</v>
      </c>
      <c r="AN28" s="33">
        <f>$F$6-F26+AM26</f>
        <v>175695.98839482805</v>
      </c>
      <c r="AO28" s="16">
        <f>-$F$6+F26+AM26</f>
        <v>175593.38839482807</v>
      </c>
      <c r="AP28" s="16"/>
      <c r="AQ28" s="16"/>
      <c r="AR28" s="15"/>
      <c r="AS28" s="15"/>
      <c r="AT28" s="15"/>
      <c r="AU28" s="15"/>
      <c r="AV28" s="15"/>
      <c r="AW28" s="15"/>
      <c r="AX28" s="17"/>
    </row>
    <row r="29" spans="1:50" ht="17.25" customHeight="1" x14ac:dyDescent="0.15"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W29" s="17"/>
      <c r="AX29" s="17"/>
    </row>
    <row r="30" spans="1:50" ht="17.25" customHeight="1" x14ac:dyDescent="0.15"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20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W30" s="17"/>
      <c r="AX30" s="17"/>
    </row>
    <row r="31" spans="1:50" ht="17.25" customHeight="1" x14ac:dyDescent="0.15"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20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W31" s="17"/>
      <c r="AX31" s="17"/>
    </row>
    <row r="32" spans="1:50" ht="17.25" customHeight="1" x14ac:dyDescent="0.15">
      <c r="B32" s="18"/>
      <c r="C32" s="19"/>
      <c r="D32" s="19"/>
      <c r="E32" s="19"/>
      <c r="F32" s="19"/>
      <c r="G32" s="19"/>
      <c r="H32" s="19"/>
      <c r="I32" s="19"/>
      <c r="K32" s="19"/>
      <c r="L32" s="20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W32" s="17"/>
      <c r="AX32" s="17"/>
    </row>
    <row r="33" spans="2:50" ht="17.25" customHeight="1" x14ac:dyDescent="0.15">
      <c r="B33" s="18"/>
      <c r="C33" s="19"/>
      <c r="D33" s="19"/>
      <c r="E33" s="19"/>
      <c r="F33" s="36"/>
      <c r="G33" s="36"/>
      <c r="H33" s="36"/>
      <c r="I33" s="19"/>
      <c r="J33" s="19"/>
      <c r="K33" s="19"/>
      <c r="L33" s="20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W33" s="17"/>
      <c r="AX33" s="17"/>
    </row>
    <row r="34" spans="2:50" ht="17.25" customHeight="1" x14ac:dyDescent="0.15"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20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W34" s="17"/>
      <c r="AX34" s="17"/>
    </row>
    <row r="35" spans="2:50" ht="17.25" customHeight="1" x14ac:dyDescent="0.15">
      <c r="B35" s="18"/>
      <c r="C35" s="19"/>
      <c r="D35" s="19"/>
      <c r="E35" s="19"/>
      <c r="F35" s="19" t="s">
        <v>49</v>
      </c>
      <c r="G35" s="19"/>
      <c r="H35" s="19"/>
      <c r="K35" s="19"/>
      <c r="L35" s="20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W35" s="17"/>
      <c r="AX35" s="17"/>
    </row>
    <row r="36" spans="2:50" ht="17.25" customHeight="1" x14ac:dyDescent="0.15">
      <c r="B36" s="18"/>
      <c r="C36" s="19"/>
      <c r="D36" s="19"/>
      <c r="E36" s="19"/>
      <c r="F36" s="19"/>
      <c r="G36" s="19"/>
      <c r="H36" s="19"/>
      <c r="I36" s="41" t="s">
        <v>25</v>
      </c>
      <c r="J36" s="41" t="s">
        <v>28</v>
      </c>
      <c r="K36" s="19"/>
      <c r="L36" s="20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W36" s="17"/>
      <c r="AX36" s="17"/>
    </row>
    <row r="37" spans="2:50" ht="17.25" customHeight="1" x14ac:dyDescent="0.15">
      <c r="B37" s="18"/>
      <c r="C37" s="19"/>
      <c r="D37" s="19"/>
      <c r="F37" s="19"/>
      <c r="G37" s="19"/>
      <c r="H37" s="19"/>
      <c r="I37" s="19"/>
      <c r="J37" s="19"/>
      <c r="K37" s="19"/>
      <c r="L37" s="20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W37" s="17"/>
      <c r="AX37" s="17"/>
    </row>
    <row r="38" spans="2:50" ht="17.25" customHeight="1" x14ac:dyDescent="0.15">
      <c r="B38" s="18"/>
      <c r="C38" s="19"/>
      <c r="D38" s="19"/>
      <c r="E38" s="19"/>
      <c r="F38" s="37"/>
      <c r="G38" s="37"/>
      <c r="H38" s="37"/>
      <c r="I38" s="38"/>
      <c r="J38" s="19"/>
      <c r="K38" s="19"/>
      <c r="L38" s="20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W38" s="17"/>
      <c r="AX38" s="17"/>
    </row>
    <row r="39" spans="2:50" ht="17.25" customHeight="1" x14ac:dyDescent="0.15">
      <c r="B39" s="18"/>
      <c r="C39" s="19"/>
      <c r="D39" s="19"/>
      <c r="E39" s="42" t="s">
        <v>32</v>
      </c>
      <c r="F39" s="19"/>
      <c r="G39" s="19"/>
      <c r="H39" s="19"/>
      <c r="I39" s="19"/>
      <c r="J39" s="19"/>
      <c r="K39" s="19"/>
      <c r="L39" s="20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W39" s="17"/>
      <c r="AX39" s="17"/>
    </row>
    <row r="40" spans="2:50" ht="17.25" customHeight="1" x14ac:dyDescent="0.15">
      <c r="B40" s="18"/>
      <c r="C40" s="19"/>
      <c r="D40" s="19"/>
      <c r="E40" s="36" t="s">
        <v>47</v>
      </c>
      <c r="F40" s="19"/>
      <c r="G40" s="19"/>
      <c r="H40" s="19"/>
      <c r="I40" s="19"/>
      <c r="J40" s="19"/>
      <c r="K40" s="19"/>
      <c r="L40" s="20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W40" s="17"/>
      <c r="AX40" s="17"/>
    </row>
    <row r="41" spans="2:50" ht="17.25" customHeight="1" x14ac:dyDescent="0.15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20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W41" s="17"/>
      <c r="AX41" s="17"/>
    </row>
    <row r="42" spans="2:50" ht="17.25" customHeight="1" x14ac:dyDescent="0.15">
      <c r="B42" s="18"/>
      <c r="C42" s="19"/>
      <c r="D42" s="19"/>
      <c r="E42" s="19"/>
      <c r="F42" s="19"/>
      <c r="G42" s="19"/>
      <c r="H42" s="43" t="s">
        <v>48</v>
      </c>
      <c r="I42" s="19"/>
      <c r="J42" s="19"/>
      <c r="K42" s="19"/>
      <c r="L42" s="20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W42" s="17"/>
      <c r="AX42" s="17"/>
    </row>
    <row r="43" spans="2:50" ht="17.25" customHeight="1" x14ac:dyDescent="0.15">
      <c r="B43" s="18"/>
      <c r="C43" s="19"/>
      <c r="D43" s="19"/>
      <c r="E43" s="19"/>
      <c r="F43" s="19"/>
      <c r="G43" s="19"/>
      <c r="I43" s="19"/>
      <c r="J43" s="19"/>
      <c r="K43" s="19"/>
      <c r="L43" s="20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W43" s="17"/>
      <c r="AX43" s="17"/>
    </row>
    <row r="44" spans="2:50" ht="17.25" customHeight="1" x14ac:dyDescent="0.15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20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W44" s="17"/>
      <c r="AX44" s="17"/>
    </row>
    <row r="45" spans="2:50" ht="17.25" customHeight="1" thickBot="1" x14ac:dyDescent="0.2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3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W45" s="17"/>
      <c r="AX45" s="17"/>
    </row>
    <row r="46" spans="2:50" ht="30.75" customHeight="1" thickTop="1" x14ac:dyDescent="0.15">
      <c r="D46" s="24"/>
      <c r="E46" s="17"/>
      <c r="F46" s="24"/>
      <c r="G46" s="25"/>
      <c r="H46" s="26"/>
      <c r="I46" s="1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2:50" ht="13.5" x14ac:dyDescent="0.15">
      <c r="C47" s="45"/>
      <c r="D47" s="46"/>
    </row>
  </sheetData>
  <sheetProtection algorithmName="SHA-512" hashValue="iMWnBSoT9RIT9EK/XBsI1Drihw/FhWBvuB3hSOZqhGXZQtjMPkge6kToul+4d4pqm0xA3rda4BwqdKD2HGbKzQ==" saltValue="1NPQnUhqKPjrfGpsk+xLvA==" spinCount="100000" sheet="1" objects="1" scenarios="1"/>
  <mergeCells count="19">
    <mergeCell ref="L9:L10"/>
    <mergeCell ref="D8:E8"/>
    <mergeCell ref="B9:C10"/>
    <mergeCell ref="B3:C3"/>
    <mergeCell ref="D3:L3"/>
    <mergeCell ref="B4:C5"/>
    <mergeCell ref="D4:E4"/>
    <mergeCell ref="D9:E9"/>
    <mergeCell ref="F9:F10"/>
    <mergeCell ref="J9:K9"/>
    <mergeCell ref="B12:B13"/>
    <mergeCell ref="D2:K2"/>
    <mergeCell ref="B18:B19"/>
    <mergeCell ref="B24:B25"/>
    <mergeCell ref="G9:I9"/>
    <mergeCell ref="B27:B28"/>
    <mergeCell ref="B21:B22"/>
    <mergeCell ref="B15:B16"/>
    <mergeCell ref="F4:F5"/>
  </mergeCells>
  <phoneticPr fontId="1"/>
  <pageMargins left="0.31496062992125984" right="0.19685039370078741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交点(円-円)</vt:lpstr>
      <vt:lpstr>'交点(円-円)'!Print_Area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2021-01-26T13:14:45Z</cp:lastPrinted>
  <dcterms:created xsi:type="dcterms:W3CDTF">1997-01-08T22:48:59Z</dcterms:created>
  <dcterms:modified xsi:type="dcterms:W3CDTF">2021-01-26T13:15:59Z</dcterms:modified>
</cp:coreProperties>
</file>