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49141BA3-FFC6-4E55-8F72-2EAF997244FE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交点(直-円)" sheetId="8" r:id="rId1"/>
  </sheets>
  <definedNames>
    <definedName name="_xlnm.Print_Area" localSheetId="0">'交点(直-円)'!$B$2:$K$45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A6" i="8" l="1"/>
  <c r="AB6" i="8"/>
  <c r="AE5" i="8" s="1"/>
  <c r="AF5" i="8" s="1"/>
  <c r="AC6" i="8"/>
  <c r="AD6" i="8"/>
  <c r="AF6" i="8"/>
  <c r="AG6" i="8"/>
  <c r="AA7" i="8"/>
  <c r="AB7" i="8"/>
  <c r="AE11" i="8"/>
  <c r="AA12" i="8"/>
  <c r="AB12" i="8"/>
  <c r="AC12" i="8"/>
  <c r="AF12" i="8"/>
  <c r="AG12" i="8"/>
  <c r="AE13" i="8"/>
  <c r="AA14" i="8"/>
  <c r="AB14" i="8"/>
  <c r="AC14" i="8"/>
  <c r="AF14" i="8"/>
  <c r="AG14" i="8"/>
  <c r="AA16" i="8"/>
  <c r="AB16" i="8"/>
  <c r="AC16" i="8"/>
  <c r="AE15" i="8" s="1"/>
  <c r="AF16" i="8"/>
  <c r="AG16" i="8"/>
  <c r="AA18" i="8"/>
  <c r="AB18" i="8"/>
  <c r="AC18" i="8"/>
  <c r="AE17" i="8" s="1"/>
  <c r="AF18" i="8"/>
  <c r="AG18" i="8"/>
  <c r="AA20" i="8"/>
  <c r="AE19" i="8" s="1"/>
  <c r="AB20" i="8"/>
  <c r="AC20" i="8"/>
  <c r="AF20" i="8"/>
  <c r="AG20" i="8"/>
  <c r="AA22" i="8"/>
  <c r="AE21" i="8" s="1"/>
  <c r="AB22" i="8"/>
  <c r="AC22" i="8"/>
  <c r="AF22" i="8"/>
  <c r="AG22" i="8"/>
  <c r="AA24" i="8"/>
  <c r="AE23" i="8" s="1"/>
  <c r="AB24" i="8"/>
  <c r="AC24" i="8"/>
  <c r="AF24" i="8"/>
  <c r="AG24" i="8"/>
  <c r="AA26" i="8"/>
  <c r="AB26" i="8"/>
  <c r="AE25" i="8" s="1"/>
  <c r="AC26" i="8"/>
  <c r="AF26" i="8"/>
  <c r="AG26" i="8"/>
  <c r="AA28" i="8"/>
  <c r="AB28" i="8"/>
  <c r="AE27" i="8" s="1"/>
  <c r="AC28" i="8"/>
  <c r="AF28" i="8"/>
  <c r="AG28" i="8"/>
  <c r="AA30" i="8"/>
  <c r="AE29" i="8" s="1"/>
  <c r="AB30" i="8"/>
  <c r="AC30" i="8"/>
  <c r="AF30" i="8"/>
  <c r="AG30" i="8"/>
  <c r="D8" i="8" l="1"/>
  <c r="AE6" i="8"/>
  <c r="AA8" i="8" l="1"/>
  <c r="AB8" i="8" s="1"/>
  <c r="I7" i="8"/>
  <c r="AF8" i="8" l="1"/>
  <c r="AB9" i="8"/>
  <c r="F7" i="8"/>
  <c r="G7" i="8" s="1"/>
  <c r="H7" i="8" l="1"/>
  <c r="AK12" i="8"/>
  <c r="AK14" i="8"/>
  <c r="AI18" i="8"/>
  <c r="AD18" i="8" s="1"/>
  <c r="AK16" i="8"/>
  <c r="AJ18" i="8"/>
  <c r="AI20" i="8"/>
  <c r="AD20" i="8" s="1"/>
  <c r="AK28" i="8"/>
  <c r="AK18" i="8"/>
  <c r="AJ20" i="8"/>
  <c r="AK24" i="8"/>
  <c r="AK20" i="8"/>
  <c r="AJ22" i="8"/>
  <c r="AI24" i="8"/>
  <c r="AD24" i="8" s="1"/>
  <c r="AH30" i="8"/>
  <c r="AI30" i="8" s="1"/>
  <c r="AD30" i="8" s="1"/>
  <c r="AJ28" i="8"/>
  <c r="AJ30" i="8"/>
  <c r="AK22" i="8"/>
  <c r="AH28" i="8"/>
  <c r="AI28" i="8" s="1"/>
  <c r="AD28" i="8" s="1"/>
  <c r="AK26" i="8"/>
  <c r="AK30" i="8"/>
  <c r="AH16" i="8"/>
  <c r="AJ16" i="8" s="1"/>
  <c r="AH26" i="8"/>
  <c r="AI26" i="8" s="1"/>
  <c r="AD26" i="8" s="1"/>
  <c r="AH12" i="8"/>
  <c r="AI12" i="8" s="1"/>
  <c r="AD12" i="8" s="1"/>
  <c r="AH14" i="8"/>
  <c r="AJ14" i="8" s="1"/>
  <c r="AH22" i="8"/>
  <c r="AI22" i="8" s="1"/>
  <c r="AD22" i="8" s="1"/>
  <c r="AH24" i="8"/>
  <c r="AJ24" i="8" s="1"/>
  <c r="AH18" i="8"/>
  <c r="AH20" i="8"/>
  <c r="A11" i="8" l="1"/>
  <c r="AE12" i="8"/>
  <c r="A27" i="8"/>
  <c r="AE28" i="8"/>
  <c r="A21" i="8"/>
  <c r="AE22" i="8"/>
  <c r="A25" i="8"/>
  <c r="AE26" i="8"/>
  <c r="AO16" i="8"/>
  <c r="AM24" i="8"/>
  <c r="AN24" i="8"/>
  <c r="AL24" i="8"/>
  <c r="AO24" i="8"/>
  <c r="A29" i="8"/>
  <c r="AE30" i="8"/>
  <c r="AO14" i="8"/>
  <c r="AJ26" i="8"/>
  <c r="A17" i="8"/>
  <c r="AE18" i="8"/>
  <c r="A19" i="8"/>
  <c r="AE20" i="8"/>
  <c r="AI14" i="8"/>
  <c r="AD14" i="8" s="1"/>
  <c r="AJ12" i="8"/>
  <c r="AN22" i="8"/>
  <c r="AQ22" i="8" s="1"/>
  <c r="AM22" i="8"/>
  <c r="AL22" i="8"/>
  <c r="AP22" i="8" s="1"/>
  <c r="AO22" i="8"/>
  <c r="A23" i="8"/>
  <c r="AE24" i="8"/>
  <c r="AI16" i="8"/>
  <c r="AD16" i="8" s="1"/>
  <c r="AN20" i="8"/>
  <c r="AQ20" i="8" s="1"/>
  <c r="AL20" i="8"/>
  <c r="AP20" i="8" s="1"/>
  <c r="AM20" i="8"/>
  <c r="AO20" i="8"/>
  <c r="AN30" i="8"/>
  <c r="AL30" i="8"/>
  <c r="AO30" i="8"/>
  <c r="AM30" i="8"/>
  <c r="AO28" i="8"/>
  <c r="AM28" i="8"/>
  <c r="AN28" i="8"/>
  <c r="AQ28" i="8" s="1"/>
  <c r="AL28" i="8"/>
  <c r="AP28" i="8" s="1"/>
  <c r="AN18" i="8"/>
  <c r="AQ18" i="8" s="1"/>
  <c r="AM18" i="8"/>
  <c r="AO18" i="8"/>
  <c r="AL18" i="8"/>
  <c r="AP18" i="8" s="1"/>
  <c r="K17" i="8" l="1"/>
  <c r="I18" i="8"/>
  <c r="J18" i="8"/>
  <c r="K18" i="8"/>
  <c r="I17" i="8"/>
  <c r="J17" i="8"/>
  <c r="A15" i="8"/>
  <c r="AE16" i="8"/>
  <c r="AM16" i="8"/>
  <c r="AL14" i="8"/>
  <c r="AN16" i="8"/>
  <c r="AQ16" i="8" s="1"/>
  <c r="I23" i="8"/>
  <c r="J23" i="8"/>
  <c r="K23" i="8"/>
  <c r="J24" i="8"/>
  <c r="K24" i="8"/>
  <c r="I24" i="8"/>
  <c r="AN26" i="8"/>
  <c r="AQ26" i="8" s="1"/>
  <c r="AL26" i="8"/>
  <c r="AM26" i="8"/>
  <c r="AO26" i="8"/>
  <c r="AN14" i="8"/>
  <c r="AQ14" i="8" s="1"/>
  <c r="AL16" i="8"/>
  <c r="AP16" i="8" s="1"/>
  <c r="I25" i="8"/>
  <c r="J25" i="8"/>
  <c r="K25" i="8"/>
  <c r="J26" i="8"/>
  <c r="I26" i="8"/>
  <c r="K26" i="8"/>
  <c r="AM14" i="8"/>
  <c r="I30" i="8"/>
  <c r="I29" i="8"/>
  <c r="J29" i="8"/>
  <c r="K29" i="8"/>
  <c r="J30" i="8"/>
  <c r="K30" i="8"/>
  <c r="I21" i="8"/>
  <c r="J21" i="8"/>
  <c r="K21" i="8"/>
  <c r="I22" i="8"/>
  <c r="K22" i="8"/>
  <c r="J22" i="8"/>
  <c r="AQ30" i="8"/>
  <c r="AO12" i="8"/>
  <c r="J12" i="8" s="1"/>
  <c r="AL12" i="8"/>
  <c r="AN12" i="8"/>
  <c r="AM12" i="8"/>
  <c r="J11" i="8" s="1"/>
  <c r="AP30" i="8"/>
  <c r="A13" i="8"/>
  <c r="AE14" i="8"/>
  <c r="I28" i="8"/>
  <c r="I27" i="8"/>
  <c r="J27" i="8"/>
  <c r="K27" i="8"/>
  <c r="K28" i="8"/>
  <c r="J28" i="8"/>
  <c r="J19" i="8"/>
  <c r="K19" i="8"/>
  <c r="I20" i="8"/>
  <c r="J20" i="8"/>
  <c r="K20" i="8"/>
  <c r="I19" i="8"/>
  <c r="AP24" i="8"/>
  <c r="AQ24" i="8"/>
  <c r="I11" i="8"/>
  <c r="I12" i="8"/>
  <c r="AQ12" i="8" l="1"/>
  <c r="K12" i="8" s="1"/>
  <c r="AP14" i="8"/>
  <c r="AP12" i="8"/>
  <c r="K11" i="8" s="1"/>
  <c r="AP26" i="8"/>
  <c r="I16" i="8"/>
  <c r="J16" i="8"/>
  <c r="K16" i="8"/>
  <c r="I15" i="8"/>
  <c r="J15" i="8"/>
  <c r="K15" i="8"/>
  <c r="I14" i="8"/>
  <c r="J14" i="8"/>
  <c r="K14" i="8"/>
  <c r="I13" i="8"/>
  <c r="J13" i="8"/>
  <c r="K13" i="8"/>
</calcChain>
</file>

<file path=xl/comments1.xml><?xml version="1.0" encoding="utf-8"?>
<comments xmlns="http://schemas.openxmlformats.org/spreadsheetml/2006/main">
  <authors>
    <author>asakaze</author>
  </authors>
  <commentList>
    <comment ref="E6" authorId="0" shapeId="0">
      <text>
        <r>
          <rPr>
            <sz val="10"/>
            <color indexed="81"/>
            <rFont val="ＭＳ Ｐゴシック"/>
            <family val="3"/>
            <charset val="128"/>
          </rPr>
          <t>器械点の座標を入力します。</t>
        </r>
      </text>
    </comment>
    <comment ref="E7" authorId="0" shapeId="0">
      <text>
        <r>
          <rPr>
            <sz val="10"/>
            <color indexed="81"/>
            <rFont val="ＭＳ Ｐゴシック"/>
            <family val="3"/>
            <charset val="128"/>
          </rPr>
          <t>基線上の点の座標を入力します。</t>
        </r>
      </text>
    </comment>
    <comment ref="A11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F11" authorId="0" shapeId="0">
      <text>
        <r>
          <rPr>
            <sz val="10"/>
            <color indexed="81"/>
            <rFont val="ＭＳ Ｐゴシック"/>
            <family val="3"/>
            <charset val="128"/>
          </rPr>
          <t>交差する円の中心座標と半径を入力します。</t>
        </r>
      </text>
    </comment>
  </commentList>
</comments>
</file>

<file path=xl/sharedStrings.xml><?xml version="1.0" encoding="utf-8"?>
<sst xmlns="http://schemas.openxmlformats.org/spreadsheetml/2006/main" count="112" uniqueCount="50">
  <si>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</si>
  <si>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</si>
  <si>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--</t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</si>
  <si>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</si>
  <si>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</si>
  <si>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</si>
  <si>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視準点</t>
    <rPh sb="0" eb="1">
      <t>シ</t>
    </rPh>
    <rPh sb="1" eb="2">
      <t>ジュン</t>
    </rPh>
    <rPh sb="2" eb="3">
      <t>テン</t>
    </rPh>
    <phoneticPr fontId="1"/>
  </si>
  <si>
    <t>°</t>
    <phoneticPr fontId="1"/>
  </si>
  <si>
    <t>’</t>
    <phoneticPr fontId="1"/>
  </si>
  <si>
    <t>”</t>
    <phoneticPr fontId="1"/>
  </si>
  <si>
    <t>----</t>
  </si>
  <si>
    <t>距　離
器械点～交点</t>
    <rPh sb="0" eb="1">
      <t>ヘダ</t>
    </rPh>
    <rPh sb="2" eb="3">
      <t>リ</t>
    </rPh>
    <rPh sb="4" eb="6">
      <t>キカイ</t>
    </rPh>
    <rPh sb="6" eb="7">
      <t>テン</t>
    </rPh>
    <rPh sb="8" eb="10">
      <t>コウテン</t>
    </rPh>
    <phoneticPr fontId="1"/>
  </si>
  <si>
    <t>Ｘ</t>
    <phoneticPr fontId="1"/>
  </si>
  <si>
    <t>Ｙ</t>
    <phoneticPr fontId="1"/>
  </si>
  <si>
    <t>----</t>
    <phoneticPr fontId="1"/>
  </si>
  <si>
    <t>ΔＸ</t>
    <phoneticPr fontId="1"/>
  </si>
  <si>
    <t>ΔＹ</t>
    <phoneticPr fontId="1"/>
  </si>
  <si>
    <t>A</t>
    <phoneticPr fontId="1"/>
  </si>
  <si>
    <t>Ｘ</t>
    <phoneticPr fontId="1"/>
  </si>
  <si>
    <t>Ｙ</t>
    <phoneticPr fontId="1"/>
  </si>
  <si>
    <t>直 線 の 座 標</t>
    <rPh sb="0" eb="1">
      <t>チョク</t>
    </rPh>
    <rPh sb="2" eb="3">
      <t>セン</t>
    </rPh>
    <rPh sb="6" eb="7">
      <t>ザ</t>
    </rPh>
    <rPh sb="8" eb="9">
      <t>シルベ</t>
    </rPh>
    <phoneticPr fontId="1"/>
  </si>
  <si>
    <t>円 の 中 心 座 標</t>
    <rPh sb="0" eb="1">
      <t>エン</t>
    </rPh>
    <rPh sb="4" eb="5">
      <t>ナカ</t>
    </rPh>
    <rPh sb="6" eb="7">
      <t>ココロ</t>
    </rPh>
    <rPh sb="8" eb="9">
      <t>ザ</t>
    </rPh>
    <rPh sb="10" eb="11">
      <t>シルベ</t>
    </rPh>
    <phoneticPr fontId="1"/>
  </si>
  <si>
    <t>交 点 計 算 （直線－円）</t>
    <rPh sb="0" eb="1">
      <t>コウ</t>
    </rPh>
    <rPh sb="2" eb="3">
      <t>テン</t>
    </rPh>
    <rPh sb="4" eb="5">
      <t>ケイ</t>
    </rPh>
    <rPh sb="6" eb="7">
      <t>サン</t>
    </rPh>
    <rPh sb="9" eb="11">
      <t>チョクセン</t>
    </rPh>
    <rPh sb="12" eb="13">
      <t>エン</t>
    </rPh>
    <phoneticPr fontId="1"/>
  </si>
  <si>
    <t>円の半径</t>
    <rPh sb="0" eb="1">
      <t>エン</t>
    </rPh>
    <rPh sb="2" eb="4">
      <t>ハンケイ</t>
    </rPh>
    <phoneticPr fontId="1"/>
  </si>
  <si>
    <t>交点１</t>
    <rPh sb="0" eb="2">
      <t>コウテン</t>
    </rPh>
    <phoneticPr fontId="1"/>
  </si>
  <si>
    <t>交点２</t>
    <rPh sb="0" eb="2">
      <t>コウテン</t>
    </rPh>
    <phoneticPr fontId="1"/>
  </si>
  <si>
    <t>B</t>
    <phoneticPr fontId="1"/>
  </si>
  <si>
    <t>ｍ</t>
    <phoneticPr fontId="1"/>
  </si>
  <si>
    <t>ｎ</t>
    <phoneticPr fontId="1"/>
  </si>
  <si>
    <t>R^2*(m^2+1)-n^2</t>
    <phoneticPr fontId="1"/>
  </si>
  <si>
    <t>ＰＹ</t>
    <phoneticPr fontId="1"/>
  </si>
  <si>
    <t>ＱＸ</t>
    <phoneticPr fontId="1"/>
  </si>
  <si>
    <t>ＱＹ</t>
    <phoneticPr fontId="1"/>
  </si>
  <si>
    <t>ｍ＊ｎ</t>
    <phoneticPr fontId="1"/>
  </si>
  <si>
    <r>
      <t>ｍ^</t>
    </r>
    <r>
      <rPr>
        <sz val="11"/>
        <rFont val="ＭＳ Ｐゴシック"/>
        <charset val="128"/>
      </rPr>
      <t>2+1</t>
    </r>
    <phoneticPr fontId="1"/>
  </si>
  <si>
    <t>ＰＸ</t>
    <phoneticPr fontId="1"/>
  </si>
  <si>
    <t>種別</t>
    <rPh sb="0" eb="2">
      <t>シュベツ</t>
    </rPh>
    <phoneticPr fontId="1"/>
  </si>
  <si>
    <t>距離Ｐ</t>
    <rPh sb="0" eb="2">
      <t>キョリ</t>
    </rPh>
    <phoneticPr fontId="1"/>
  </si>
  <si>
    <t>距離Ｑ</t>
    <rPh sb="0" eb="2">
      <t>キョリ</t>
    </rPh>
    <phoneticPr fontId="1"/>
  </si>
  <si>
    <t>交点２</t>
    <phoneticPr fontId="1"/>
  </si>
  <si>
    <t>　　交点１</t>
    <phoneticPr fontId="1"/>
  </si>
  <si>
    <t>Ｂ</t>
    <phoneticPr fontId="1"/>
  </si>
  <si>
    <t>Ａ</t>
    <phoneticPr fontId="1"/>
  </si>
  <si>
    <t>　　　    ●</t>
    <phoneticPr fontId="1"/>
  </si>
  <si>
    <t>　　　 　中心　　 半径</t>
    <rPh sb="5" eb="7">
      <t>チュウシン</t>
    </rPh>
    <rPh sb="10" eb="12">
      <t>ハンケイ</t>
    </rPh>
    <phoneticPr fontId="1"/>
  </si>
  <si>
    <t>サンプルデータ８</t>
    <phoneticPr fontId="1"/>
  </si>
  <si>
    <t>O1</t>
    <phoneticPr fontId="1"/>
  </si>
  <si>
    <t>O2</t>
    <phoneticPr fontId="1"/>
  </si>
  <si>
    <t>※このシートで実際に計算できます。（入力項目欄：黄色、計算結果欄：緑色）</t>
  </si>
  <si>
    <t>交 点 座 標</t>
    <rPh sb="0" eb="1">
      <t>コウ</t>
    </rPh>
    <rPh sb="2" eb="3">
      <t>テン</t>
    </rPh>
    <rPh sb="4" eb="5">
      <t>ザ</t>
    </rPh>
    <rPh sb="6" eb="7">
      <t>シルベ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</si>
</sst>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00_ "/>
    <numFmt numFmtId="182" formatCode="0_ "/>
    <numFmt numFmtId="183" formatCode="0.00_ "/>
    <numFmt numFmtId="184" formatCode="0.0000_ "/>
    <numFmt numFmtId="189" formatCode="#,##0.000_ "/>
    <numFmt numFmtId="190" formatCode="0.00000_ "/>
  </numFmts>
  <fonts count="1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Alignment="1" applyProtection="1">
      <protection hidden="1"/>
    </xf>
    <xf numFmtId="176" fontId="7" fillId="0" borderId="0" xfId="0" applyNumberFormat="1" applyFont="1" applyBorder="1" applyAlignment="1" applyProtection="1">
      <protection hidden="1"/>
    </xf>
    <xf numFmtId="176" fontId="7" fillId="0" borderId="0" xfId="0" applyNumberFormat="1" applyFont="1" applyProtection="1">
      <protection hidden="1"/>
    </xf>
    <xf numFmtId="49" fontId="7" fillId="0" borderId="0" xfId="0" applyNumberFormat="1" applyFont="1" applyProtection="1">
      <protection hidden="1"/>
    </xf>
    <xf numFmtId="182" fontId="7" fillId="0" borderId="0" xfId="0" applyNumberFormat="1" applyFont="1" applyProtection="1">
      <protection hidden="1"/>
    </xf>
    <xf numFmtId="182" fontId="7" fillId="0" borderId="0" xfId="0" applyNumberFormat="1" applyFont="1" applyAlignment="1" applyProtection="1">
      <alignment horizontal="center"/>
      <protection hidden="1"/>
    </xf>
    <xf numFmtId="183" fontId="7" fillId="0" borderId="0" xfId="0" applyNumberFormat="1" applyFont="1" applyAlignment="1" applyProtection="1">
      <alignment horizontal="center"/>
      <protection hidden="1"/>
    </xf>
    <xf numFmtId="176" fontId="7" fillId="0" borderId="0" xfId="0" applyNumberFormat="1" applyFont="1" applyAlignme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84" fontId="7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176" fontId="4" fillId="0" borderId="0" xfId="0" applyNumberFormat="1" applyFont="1" applyAlignment="1" applyProtection="1">
      <alignment vertical="center"/>
      <protection hidden="1"/>
    </xf>
    <xf numFmtId="184" fontId="4" fillId="0" borderId="0" xfId="0" applyNumberFormat="1" applyFont="1" applyProtection="1">
      <protection hidden="1"/>
    </xf>
    <xf numFmtId="190" fontId="4" fillId="0" borderId="0" xfId="0" applyNumberFormat="1" applyFont="1" applyProtection="1">
      <protection hidden="1"/>
    </xf>
    <xf numFmtId="49" fontId="7" fillId="0" borderId="15" xfId="0" applyNumberFormat="1" applyFont="1" applyBorder="1" applyAlignment="1" applyProtection="1">
      <alignment vertical="center"/>
      <protection hidden="1"/>
    </xf>
    <xf numFmtId="49" fontId="7" fillId="0" borderId="10" xfId="0" applyNumberFormat="1" applyFont="1" applyBorder="1" applyAlignment="1" applyProtection="1">
      <alignment vertical="center"/>
      <protection hidden="1"/>
    </xf>
    <xf numFmtId="49" fontId="7" fillId="0" borderId="16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Border="1" applyAlignment="1" applyProtection="1">
      <alignment vertical="center"/>
      <protection hidden="1"/>
    </xf>
    <xf numFmtId="49" fontId="8" fillId="0" borderId="17" xfId="0" applyNumberFormat="1" applyFont="1" applyBorder="1" applyAlignment="1" applyProtection="1">
      <alignment vertical="center"/>
      <protection hidden="1"/>
    </xf>
    <xf numFmtId="49" fontId="8" fillId="0" borderId="18" xfId="0" applyNumberFormat="1" applyFont="1" applyBorder="1" applyAlignment="1" applyProtection="1">
      <alignment vertical="center"/>
      <protection hidden="1"/>
    </xf>
    <xf numFmtId="49" fontId="8" fillId="0" borderId="19" xfId="0" applyNumberFormat="1" applyFont="1" applyBorder="1" applyAlignment="1" applyProtection="1">
      <alignment vertical="center"/>
      <protection hidden="1"/>
    </xf>
    <xf numFmtId="49" fontId="8" fillId="0" borderId="20" xfId="0" applyNumberFormat="1" applyFont="1" applyBorder="1" applyAlignment="1" applyProtection="1">
      <alignment vertical="center"/>
      <protection hidden="1"/>
    </xf>
    <xf numFmtId="49" fontId="8" fillId="0" borderId="21" xfId="0" applyNumberFormat="1" applyFont="1" applyBorder="1" applyAlignment="1" applyProtection="1">
      <alignment vertical="center"/>
      <protection hidden="1"/>
    </xf>
    <xf numFmtId="0" fontId="3" fillId="0" borderId="22" xfId="0" applyFont="1" applyBorder="1" applyAlignment="1" applyProtection="1">
      <alignment horizontal="left" vertical="center"/>
      <protection hidden="1"/>
    </xf>
    <xf numFmtId="0" fontId="3" fillId="0" borderId="15" xfId="0" applyFont="1" applyBorder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176" fontId="3" fillId="0" borderId="9" xfId="0" applyNumberFormat="1" applyFont="1" applyBorder="1" applyAlignment="1" applyProtection="1">
      <alignment horizontal="center"/>
      <protection hidden="1"/>
    </xf>
    <xf numFmtId="176" fontId="3" fillId="0" borderId="23" xfId="0" applyNumberFormat="1" applyFont="1" applyBorder="1" applyAlignment="1" applyProtection="1">
      <alignment horizontal="center"/>
      <protection hidden="1"/>
    </xf>
    <xf numFmtId="176" fontId="3" fillId="0" borderId="24" xfId="0" applyNumberFormat="1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9" fillId="0" borderId="0" xfId="1" applyNumberFormat="1" applyAlignment="1" applyProtection="1">
      <alignment vertical="center"/>
      <protection hidden="1"/>
    </xf>
    <xf numFmtId="0" fontId="9" fillId="0" borderId="0" xfId="1" applyAlignment="1" applyProtection="1"/>
    <xf numFmtId="0" fontId="13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top"/>
      <protection hidden="1"/>
    </xf>
    <xf numFmtId="0" fontId="0" fillId="0" borderId="10" xfId="0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vertical="center"/>
      <protection hidden="1"/>
    </xf>
    <xf numFmtId="49" fontId="8" fillId="0" borderId="18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Border="1" applyAlignment="1" applyProtection="1">
      <alignment horizontal="right" vertical="center"/>
      <protection hidden="1"/>
    </xf>
    <xf numFmtId="49" fontId="8" fillId="0" borderId="0" xfId="0" applyNumberFormat="1" applyFont="1" applyBorder="1" applyAlignment="1" applyProtection="1">
      <protection hidden="1"/>
    </xf>
    <xf numFmtId="0" fontId="0" fillId="0" borderId="0" xfId="0" applyAlignment="1" applyProtection="1">
      <protection hidden="1"/>
    </xf>
    <xf numFmtId="49" fontId="7" fillId="0" borderId="10" xfId="0" applyNumberFormat="1" applyFont="1" applyBorder="1" applyAlignment="1" applyProtection="1">
      <alignment vertical="center"/>
      <protection hidden="1"/>
    </xf>
    <xf numFmtId="0" fontId="14" fillId="0" borderId="48" xfId="0" applyFont="1" applyBorder="1" applyAlignment="1" applyProtection="1">
      <alignment horizontal="center" vertical="center"/>
      <protection hidden="1"/>
    </xf>
    <xf numFmtId="0" fontId="14" fillId="0" borderId="49" xfId="0" applyFont="1" applyBorder="1" applyAlignment="1" applyProtection="1">
      <alignment horizontal="center" vertical="center"/>
      <protection hidden="1"/>
    </xf>
    <xf numFmtId="0" fontId="15" fillId="3" borderId="50" xfId="0" applyFont="1" applyFill="1" applyBorder="1" applyAlignment="1" applyProtection="1">
      <alignment vertical="center"/>
      <protection locked="0"/>
    </xf>
    <xf numFmtId="0" fontId="15" fillId="3" borderId="49" xfId="0" applyFont="1" applyFill="1" applyBorder="1" applyAlignment="1" applyProtection="1">
      <alignment vertical="center"/>
      <protection locked="0"/>
    </xf>
    <xf numFmtId="0" fontId="15" fillId="3" borderId="51" xfId="0" applyFont="1" applyFill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52" xfId="0" applyFont="1" applyBorder="1" applyAlignment="1" applyProtection="1">
      <alignment horizontal="center" vertical="center"/>
      <protection hidden="1"/>
    </xf>
    <xf numFmtId="0" fontId="14" fillId="0" borderId="53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center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4" fillId="0" borderId="46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right"/>
      <protection hidden="1"/>
    </xf>
    <xf numFmtId="0" fontId="3" fillId="0" borderId="3" xfId="0" quotePrefix="1" applyFont="1" applyBorder="1" applyAlignment="1" applyProtection="1">
      <alignment horizontal="right"/>
      <protection hidden="1"/>
    </xf>
    <xf numFmtId="0" fontId="3" fillId="0" borderId="4" xfId="0" quotePrefix="1" applyFont="1" applyBorder="1" applyAlignment="1" applyProtection="1">
      <alignment horizontal="right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49" fontId="15" fillId="3" borderId="8" xfId="0" quotePrefix="1" applyNumberFormat="1" applyFont="1" applyFill="1" applyBorder="1" applyAlignment="1" applyProtection="1">
      <alignment horizontal="left" vertical="center"/>
      <protection locked="0"/>
    </xf>
    <xf numFmtId="176" fontId="15" fillId="3" borderId="34" xfId="0" applyNumberFormat="1" applyFont="1" applyFill="1" applyBorder="1" applyAlignment="1" applyProtection="1">
      <alignment vertical="center"/>
      <protection locked="0"/>
    </xf>
    <xf numFmtId="176" fontId="15" fillId="3" borderId="6" xfId="0" applyNumberFormat="1" applyFont="1" applyFill="1" applyBorder="1" applyAlignment="1" applyProtection="1">
      <alignment vertical="center"/>
      <protection locked="0"/>
    </xf>
    <xf numFmtId="182" fontId="3" fillId="0" borderId="6" xfId="0" quotePrefix="1" applyNumberFormat="1" applyFont="1" applyBorder="1" applyAlignment="1" applyProtection="1">
      <alignment horizontal="center" vertical="center"/>
      <protection hidden="1"/>
    </xf>
    <xf numFmtId="182" fontId="3" fillId="0" borderId="7" xfId="0" quotePrefix="1" applyNumberFormat="1" applyFont="1" applyBorder="1" applyAlignment="1" applyProtection="1">
      <alignment horizontal="center" vertical="center"/>
      <protection hidden="1"/>
    </xf>
    <xf numFmtId="182" fontId="3" fillId="0" borderId="8" xfId="0" quotePrefix="1" applyNumberFormat="1" applyFont="1" applyBorder="1" applyAlignment="1" applyProtection="1">
      <alignment horizontal="center" vertical="center"/>
      <protection hidden="1"/>
    </xf>
    <xf numFmtId="182" fontId="3" fillId="0" borderId="9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" xfId="0" applyFont="1" applyFill="1" applyBorder="1" applyAlignment="1" applyProtection="1">
      <alignment horizontal="left"/>
      <protection hidden="1"/>
    </xf>
    <xf numFmtId="49" fontId="15" fillId="3" borderId="28" xfId="0" quotePrefix="1" applyNumberFormat="1" applyFont="1" applyFill="1" applyBorder="1" applyAlignment="1" applyProtection="1">
      <alignment horizontal="left" vertical="center"/>
      <protection locked="0"/>
    </xf>
    <xf numFmtId="176" fontId="15" fillId="3" borderId="10" xfId="0" applyNumberFormat="1" applyFont="1" applyFill="1" applyBorder="1" applyAlignment="1" applyProtection="1">
      <alignment vertical="center"/>
      <protection locked="0"/>
    </xf>
    <xf numFmtId="176" fontId="15" fillId="3" borderId="26" xfId="0" applyNumberFormat="1" applyFont="1" applyFill="1" applyBorder="1" applyAlignment="1" applyProtection="1">
      <alignment vertical="center"/>
      <protection locked="0"/>
    </xf>
    <xf numFmtId="182" fontId="3" fillId="2" borderId="26" xfId="0" applyNumberFormat="1" applyFont="1" applyFill="1" applyBorder="1" applyAlignment="1" applyProtection="1">
      <alignment vertical="center"/>
      <protection hidden="1"/>
    </xf>
    <xf numFmtId="182" fontId="3" fillId="2" borderId="27" xfId="0" applyNumberFormat="1" applyFont="1" applyFill="1" applyBorder="1" applyAlignment="1" applyProtection="1">
      <alignment vertical="center"/>
      <protection hidden="1"/>
    </xf>
    <xf numFmtId="183" fontId="3" fillId="2" borderId="28" xfId="0" applyNumberFormat="1" applyFont="1" applyFill="1" applyBorder="1" applyAlignment="1" applyProtection="1">
      <alignment vertical="center"/>
      <protection hidden="1"/>
    </xf>
    <xf numFmtId="176" fontId="3" fillId="2" borderId="29" xfId="0" applyNumberFormat="1" applyFont="1" applyFill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4" fillId="0" borderId="44" xfId="0" applyFont="1" applyBorder="1" applyAlignment="1" applyProtection="1">
      <alignment horizontal="center" vertical="center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0" fontId="14" fillId="0" borderId="47" xfId="0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protection hidden="1"/>
    </xf>
    <xf numFmtId="0" fontId="3" fillId="0" borderId="12" xfId="0" applyFont="1" applyBorder="1" applyAlignment="1" applyProtection="1"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vertical="center"/>
      <protection hidden="1"/>
    </xf>
    <xf numFmtId="49" fontId="15" fillId="3" borderId="24" xfId="0" applyNumberFormat="1" applyFont="1" applyFill="1" applyBorder="1" applyProtection="1">
      <protection locked="0"/>
    </xf>
    <xf numFmtId="176" fontId="15" fillId="3" borderId="6" xfId="0" applyNumberFormat="1" applyFont="1" applyFill="1" applyBorder="1" applyAlignment="1" applyProtection="1">
      <alignment horizontal="right"/>
      <protection locked="0"/>
    </xf>
    <xf numFmtId="189" fontId="15" fillId="3" borderId="6" xfId="0" quotePrefix="1" applyNumberFormat="1" applyFont="1" applyFill="1" applyBorder="1" applyAlignment="1" applyProtection="1">
      <protection locked="0"/>
    </xf>
    <xf numFmtId="0" fontId="3" fillId="3" borderId="34" xfId="0" applyFont="1" applyFill="1" applyBorder="1" applyAlignment="1" applyProtection="1">
      <protection locked="0"/>
    </xf>
    <xf numFmtId="176" fontId="3" fillId="2" borderId="6" xfId="0" applyNumberFormat="1" applyFont="1" applyFill="1" applyBorder="1" applyAlignment="1" applyProtection="1">
      <protection hidden="1"/>
    </xf>
    <xf numFmtId="176" fontId="3" fillId="2" borderId="30" xfId="0" applyNumberFormat="1" applyFont="1" applyFill="1" applyBorder="1" applyProtection="1">
      <protection hidden="1"/>
    </xf>
    <xf numFmtId="0" fontId="3" fillId="0" borderId="39" xfId="0" applyFont="1" applyBorder="1" applyAlignment="1" applyProtection="1">
      <alignment vertical="center"/>
      <protection hidden="1"/>
    </xf>
    <xf numFmtId="176" fontId="3" fillId="0" borderId="25" xfId="0" quotePrefix="1" applyNumberFormat="1" applyFont="1" applyBorder="1" applyAlignment="1" applyProtection="1">
      <alignment horizontal="center" vertical="center"/>
      <protection hidden="1"/>
    </xf>
    <xf numFmtId="182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176" fontId="3" fillId="2" borderId="25" xfId="0" applyNumberFormat="1" applyFont="1" applyFill="1" applyBorder="1" applyAlignment="1" applyProtection="1">
      <protection hidden="1"/>
    </xf>
    <xf numFmtId="176" fontId="3" fillId="2" borderId="31" xfId="0" applyNumberFormat="1" applyFont="1" applyFill="1" applyBorder="1" applyProtection="1">
      <protection hidden="1"/>
    </xf>
    <xf numFmtId="0" fontId="3" fillId="0" borderId="35" xfId="0" applyFont="1" applyBorder="1" applyAlignment="1" applyProtection="1">
      <alignment vertical="center"/>
      <protection hidden="1"/>
    </xf>
    <xf numFmtId="176" fontId="15" fillId="3" borderId="32" xfId="0" applyNumberFormat="1" applyFont="1" applyFill="1" applyBorder="1" applyAlignment="1" applyProtection="1">
      <alignment horizontal="right"/>
      <protection locked="0"/>
    </xf>
    <xf numFmtId="189" fontId="15" fillId="3" borderId="32" xfId="0" quotePrefix="1" applyNumberFormat="1" applyFont="1" applyFill="1" applyBorder="1" applyAlignment="1" applyProtection="1">
      <protection locked="0"/>
    </xf>
    <xf numFmtId="0" fontId="3" fillId="3" borderId="37" xfId="0" applyFont="1" applyFill="1" applyBorder="1" applyAlignment="1" applyProtection="1">
      <protection locked="0"/>
    </xf>
    <xf numFmtId="176" fontId="3" fillId="2" borderId="32" xfId="0" applyNumberFormat="1" applyFont="1" applyFill="1" applyBorder="1" applyAlignment="1" applyProtection="1">
      <protection hidden="1"/>
    </xf>
    <xf numFmtId="176" fontId="3" fillId="2" borderId="33" xfId="0" applyNumberFormat="1" applyFont="1" applyFill="1" applyBorder="1" applyProtection="1">
      <protection hidden="1"/>
    </xf>
    <xf numFmtId="49" fontId="15" fillId="3" borderId="24" xfId="0" quotePrefix="1" applyNumberFormat="1" applyFont="1" applyFill="1" applyBorder="1" applyProtection="1">
      <protection locked="0"/>
    </xf>
    <xf numFmtId="0" fontId="3" fillId="0" borderId="36" xfId="0" applyFont="1" applyBorder="1" applyAlignment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33</xdr:row>
      <xdr:rowOff>133350</xdr:rowOff>
    </xdr:from>
    <xdr:to>
      <xdr:col>8</xdr:col>
      <xdr:colOff>561975</xdr:colOff>
      <xdr:row>43</xdr:row>
      <xdr:rowOff>104775</xdr:rowOff>
    </xdr:to>
    <xdr:sp macro="" textlink="">
      <xdr:nvSpPr>
        <xdr:cNvPr id="2055" name="Oval 7">
          <a:extLst>
            <a:ext uri="{FF2B5EF4-FFF2-40B4-BE49-F238E27FC236}">
              <a16:creationId xmlns:a16="http://schemas.microsoft.com/office/drawing/2014/main" id="{83693175-6C6F-4785-B103-5E88DE2A1F98}"/>
            </a:ext>
          </a:extLst>
        </xdr:cNvPr>
        <xdr:cNvSpPr>
          <a:spLocks noChangeArrowheads="1"/>
        </xdr:cNvSpPr>
      </xdr:nvSpPr>
      <xdr:spPr bwMode="auto">
        <a:xfrm>
          <a:off x="3086100" y="7686675"/>
          <a:ext cx="2162175" cy="21621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304800</xdr:colOff>
      <xdr:row>38</xdr:row>
      <xdr:rowOff>114300</xdr:rowOff>
    </xdr:from>
    <xdr:to>
      <xdr:col>8</xdr:col>
      <xdr:colOff>552450</xdr:colOff>
      <xdr:row>38</xdr:row>
      <xdr:rowOff>114300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9C314589-BB86-45E1-BCD1-96A3180D295A}"/>
            </a:ext>
          </a:extLst>
        </xdr:cNvPr>
        <xdr:cNvSpPr>
          <a:spLocks noChangeShapeType="1"/>
        </xdr:cNvSpPr>
      </xdr:nvSpPr>
      <xdr:spPr bwMode="auto">
        <a:xfrm>
          <a:off x="4171950" y="876300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37</xdr:row>
      <xdr:rowOff>104775</xdr:rowOff>
    </xdr:from>
    <xdr:to>
      <xdr:col>4</xdr:col>
      <xdr:colOff>790575</xdr:colOff>
      <xdr:row>40</xdr:row>
      <xdr:rowOff>114300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D92F6F0C-412E-4FF4-B716-ADD56CFFE877}"/>
            </a:ext>
          </a:extLst>
        </xdr:cNvPr>
        <xdr:cNvSpPr>
          <a:spLocks noChangeShapeType="1"/>
        </xdr:cNvSpPr>
      </xdr:nvSpPr>
      <xdr:spPr bwMode="auto">
        <a:xfrm flipV="1">
          <a:off x="1419225" y="8534400"/>
          <a:ext cx="1704975" cy="666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781050</xdr:colOff>
      <xdr:row>34</xdr:row>
      <xdr:rowOff>104775</xdr:rowOff>
    </xdr:from>
    <xdr:to>
      <xdr:col>8</xdr:col>
      <xdr:colOff>85725</xdr:colOff>
      <xdr:row>37</xdr:row>
      <xdr:rowOff>104775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87D3E020-8268-4CAC-A089-9537B51A925E}"/>
            </a:ext>
          </a:extLst>
        </xdr:cNvPr>
        <xdr:cNvSpPr>
          <a:spLocks noChangeShapeType="1"/>
        </xdr:cNvSpPr>
      </xdr:nvSpPr>
      <xdr:spPr bwMode="auto">
        <a:xfrm flipV="1">
          <a:off x="3114675" y="7877175"/>
          <a:ext cx="1657350" cy="657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32</xdr:row>
      <xdr:rowOff>123825</xdr:rowOff>
    </xdr:from>
    <xdr:to>
      <xdr:col>9</xdr:col>
      <xdr:colOff>123825</xdr:colOff>
      <xdr:row>34</xdr:row>
      <xdr:rowOff>114300</xdr:rowOff>
    </xdr:to>
    <xdr:sp macro="" textlink="">
      <xdr:nvSpPr>
        <xdr:cNvPr id="2063" name="Line 15">
          <a:extLst>
            <a:ext uri="{FF2B5EF4-FFF2-40B4-BE49-F238E27FC236}">
              <a16:creationId xmlns:a16="http://schemas.microsoft.com/office/drawing/2014/main" id="{8B347C79-9F27-4BA9-9CCF-F9D5726B5FC8}"/>
            </a:ext>
          </a:extLst>
        </xdr:cNvPr>
        <xdr:cNvSpPr>
          <a:spLocks noChangeShapeType="1"/>
        </xdr:cNvSpPr>
      </xdr:nvSpPr>
      <xdr:spPr bwMode="auto">
        <a:xfrm flipV="1">
          <a:off x="4743450" y="7458075"/>
          <a:ext cx="1104900" cy="4286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333375</xdr:colOff>
      <xdr:row>40</xdr:row>
      <xdr:rowOff>123825</xdr:rowOff>
    </xdr:from>
    <xdr:to>
      <xdr:col>3</xdr:col>
      <xdr:colOff>114300</xdr:colOff>
      <xdr:row>41</xdr:row>
      <xdr:rowOff>123825</xdr:rowOff>
    </xdr:to>
    <xdr:sp macro="" textlink="">
      <xdr:nvSpPr>
        <xdr:cNvPr id="2064" name="Line 16">
          <a:extLst>
            <a:ext uri="{FF2B5EF4-FFF2-40B4-BE49-F238E27FC236}">
              <a16:creationId xmlns:a16="http://schemas.microsoft.com/office/drawing/2014/main" id="{911D818F-89BC-42AA-B280-C8744F9CC954}"/>
            </a:ext>
          </a:extLst>
        </xdr:cNvPr>
        <xdr:cNvSpPr>
          <a:spLocks noChangeShapeType="1"/>
        </xdr:cNvSpPr>
      </xdr:nvSpPr>
      <xdr:spPr bwMode="auto">
        <a:xfrm flipV="1">
          <a:off x="819150" y="9210675"/>
          <a:ext cx="59055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31</xdr:row>
      <xdr:rowOff>161925</xdr:rowOff>
    </xdr:from>
    <xdr:to>
      <xdr:col>9</xdr:col>
      <xdr:colOff>571500</xdr:colOff>
      <xdr:row>32</xdr:row>
      <xdr:rowOff>114300</xdr:rowOff>
    </xdr:to>
    <xdr:sp macro="" textlink="">
      <xdr:nvSpPr>
        <xdr:cNvPr id="2065" name="Line 17">
          <a:extLst>
            <a:ext uri="{FF2B5EF4-FFF2-40B4-BE49-F238E27FC236}">
              <a16:creationId xmlns:a16="http://schemas.microsoft.com/office/drawing/2014/main" id="{89CAB013-C6B7-4F9F-A1B2-9D088CC31A34}"/>
            </a:ext>
          </a:extLst>
        </xdr:cNvPr>
        <xdr:cNvSpPr>
          <a:spLocks noChangeShapeType="1"/>
        </xdr:cNvSpPr>
      </xdr:nvSpPr>
      <xdr:spPr bwMode="auto">
        <a:xfrm flipV="1">
          <a:off x="5867400" y="7277100"/>
          <a:ext cx="428625" cy="1714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V47"/>
  <sheetViews>
    <sheetView showGridLines="0" showRowColHeaders="0" tabSelected="1" workbookViewId="0">
      <selection activeCell="I22" sqref="I22"/>
    </sheetView>
  </sheetViews>
  <sheetFormatPr defaultRowHeight="13.5" x14ac:dyDescent="0.15"/>
  <cols>
    <col min="1" max="1" width="2.375" style="13" customWidth="1"/>
    <col min="2" max="2" width="4" style="13" customWidth="1"/>
    <col min="3" max="3" width="10.625" style="17" customWidth="1"/>
    <col min="4" max="5" width="13.625" style="13" customWidth="1"/>
    <col min="6" max="6" width="6.5" style="13" customWidth="1"/>
    <col min="7" max="7" width="4.625" style="22" customWidth="1"/>
    <col min="8" max="8" width="6.125" style="22" customWidth="1"/>
    <col min="9" max="11" width="13.625" style="13" customWidth="1"/>
    <col min="12" max="26" width="9" style="13"/>
    <col min="27" max="27" width="10.5" style="13" hidden="1" customWidth="1"/>
    <col min="28" max="28" width="10.125" style="13" hidden="1" customWidth="1"/>
    <col min="29" max="29" width="3.5" style="13" hidden="1" customWidth="1"/>
    <col min="30" max="30" width="3.25" style="13" hidden="1" customWidth="1"/>
    <col min="31" max="31" width="3.375" style="13" hidden="1" customWidth="1"/>
    <col min="32" max="32" width="12.625" style="13" hidden="1" customWidth="1"/>
    <col min="33" max="33" width="11.625" style="13" hidden="1" customWidth="1"/>
    <col min="34" max="34" width="12" style="13" hidden="1" customWidth="1"/>
    <col min="35" max="35" width="13.25" style="13" hidden="1" customWidth="1"/>
    <col min="36" max="36" width="14" style="13" hidden="1" customWidth="1"/>
    <col min="37" max="37" width="11.125" style="13" hidden="1" customWidth="1"/>
    <col min="38" max="38" width="13.125" style="13" hidden="1" customWidth="1"/>
    <col min="39" max="39" width="13" style="13" hidden="1" customWidth="1"/>
    <col min="40" max="40" width="13.625" style="13" hidden="1" customWidth="1"/>
    <col min="41" max="41" width="12.75" style="13" hidden="1" customWidth="1"/>
    <col min="42" max="42" width="11.625" style="13" hidden="1" customWidth="1"/>
    <col min="43" max="43" width="9.5" style="13" hidden="1" customWidth="1"/>
    <col min="44" max="45" width="13.125" style="13" hidden="1" customWidth="1"/>
    <col min="46" max="46" width="13.375" style="13" hidden="1" customWidth="1"/>
    <col min="47" max="47" width="7.875" style="13" hidden="1" customWidth="1"/>
    <col min="48" max="48" width="5.5" style="13" hidden="1" customWidth="1"/>
    <col min="49" max="52" width="0" style="13" hidden="1" customWidth="1"/>
    <col min="53" max="16384" width="9" style="13"/>
  </cols>
  <sheetData>
    <row r="1" spans="1:45" ht="30" customHeight="1" x14ac:dyDescent="0.15">
      <c r="C1" s="46" t="s">
        <v>48</v>
      </c>
      <c r="D1" s="45"/>
      <c r="E1" s="43"/>
    </row>
    <row r="2" spans="1:45" s="1" customFormat="1" ht="34.5" customHeight="1" thickBot="1" x14ac:dyDescent="0.2">
      <c r="C2" s="2"/>
      <c r="D2" s="47" t="s">
        <v>22</v>
      </c>
      <c r="E2" s="48"/>
      <c r="F2" s="48"/>
      <c r="G2" s="48"/>
      <c r="H2" s="48"/>
      <c r="I2" s="48"/>
      <c r="J2" s="48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45" s="1" customFormat="1" ht="18.75" customHeight="1" thickTop="1" thickBot="1" x14ac:dyDescent="0.2">
      <c r="B3" s="56" t="s">
        <v>5</v>
      </c>
      <c r="C3" s="57"/>
      <c r="D3" s="58" t="s">
        <v>45</v>
      </c>
      <c r="E3" s="59"/>
      <c r="F3" s="59"/>
      <c r="G3" s="59"/>
      <c r="H3" s="59"/>
      <c r="I3" s="59"/>
      <c r="J3" s="59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5" s="7" customFormat="1" ht="16.5" customHeight="1" x14ac:dyDescent="0.15">
      <c r="B4" s="61" t="s">
        <v>0</v>
      </c>
      <c r="C4" s="62"/>
      <c r="D4" s="63" t="s">
        <v>20</v>
      </c>
      <c r="E4" s="64"/>
      <c r="F4" s="65" t="s">
        <v>1</v>
      </c>
      <c r="G4" s="65"/>
      <c r="H4" s="65"/>
      <c r="I4" s="66" t="s">
        <v>4</v>
      </c>
      <c r="J4" s="67"/>
      <c r="K4" s="6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5" s="7" customFormat="1" ht="16.5" customHeight="1" thickBot="1" x14ac:dyDescent="0.2">
      <c r="B5" s="69"/>
      <c r="C5" s="70"/>
      <c r="D5" s="71" t="s">
        <v>18</v>
      </c>
      <c r="E5" s="72" t="s">
        <v>19</v>
      </c>
      <c r="F5" s="73" t="s">
        <v>7</v>
      </c>
      <c r="G5" s="74" t="s">
        <v>8</v>
      </c>
      <c r="H5" s="75" t="s">
        <v>9</v>
      </c>
      <c r="I5" s="76"/>
      <c r="J5" s="77"/>
      <c r="K5" s="7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"/>
      <c r="AB5" s="1"/>
      <c r="AC5" s="1"/>
      <c r="AD5" s="1"/>
      <c r="AE5" s="1">
        <f>SUM(AA6:AD6)</f>
        <v>4</v>
      </c>
      <c r="AF5" s="1">
        <f>IF(AND(AE5=4,AF6=0,AG6=0),-1,0)</f>
        <v>0</v>
      </c>
      <c r="AG5" s="1"/>
      <c r="AH5" s="1"/>
      <c r="AI5" s="1"/>
      <c r="AJ5" s="1"/>
      <c r="AK5" s="1"/>
      <c r="AL5" s="1"/>
    </row>
    <row r="6" spans="1:45" s="10" customFormat="1" ht="17.25" customHeight="1" thickTop="1" x14ac:dyDescent="0.15">
      <c r="B6" s="37" t="s">
        <v>3</v>
      </c>
      <c r="C6" s="79" t="s">
        <v>17</v>
      </c>
      <c r="D6" s="80">
        <v>175082.54</v>
      </c>
      <c r="E6" s="81">
        <v>-13888.351000000001</v>
      </c>
      <c r="F6" s="82" t="s">
        <v>2</v>
      </c>
      <c r="G6" s="83" t="s">
        <v>2</v>
      </c>
      <c r="H6" s="84" t="s">
        <v>2</v>
      </c>
      <c r="I6" s="85" t="s">
        <v>14</v>
      </c>
      <c r="J6" s="86"/>
      <c r="K6" s="8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24">
        <f>IF(D6&lt;&gt;"",1,0)</f>
        <v>1</v>
      </c>
      <c r="AB6" s="24">
        <f>IF(E6&lt;&gt;"",1,0)</f>
        <v>1</v>
      </c>
      <c r="AC6" s="24">
        <f>IF(D7&lt;&gt;"",1,0)</f>
        <v>1</v>
      </c>
      <c r="AD6" s="24">
        <f>IF(E7&lt;&gt;"",1,0)</f>
        <v>1</v>
      </c>
      <c r="AE6" s="24">
        <f>SUM(AA6:AD6)+AF5</f>
        <v>4</v>
      </c>
      <c r="AF6" s="25">
        <f>D6-D7</f>
        <v>54.733000000007451</v>
      </c>
      <c r="AG6" s="25">
        <f>E6-E7</f>
        <v>396.35899999999856</v>
      </c>
      <c r="AH6" s="24"/>
      <c r="AI6" s="24"/>
      <c r="AJ6" s="24"/>
      <c r="AK6" s="24"/>
      <c r="AL6" s="24"/>
    </row>
    <row r="7" spans="1:45" s="10" customFormat="1" ht="17.25" customHeight="1" thickBot="1" x14ac:dyDescent="0.2">
      <c r="B7" s="38" t="s">
        <v>6</v>
      </c>
      <c r="C7" s="88" t="s">
        <v>26</v>
      </c>
      <c r="D7" s="89">
        <v>175027.807</v>
      </c>
      <c r="E7" s="90">
        <v>-14284.71</v>
      </c>
      <c r="F7" s="91">
        <f>IF(AE6=4,INT(AB8),"")</f>
        <v>262</v>
      </c>
      <c r="G7" s="92">
        <f>IF(AE6=4,INT((AB8-F7)*60),"")</f>
        <v>8</v>
      </c>
      <c r="H7" s="93">
        <f>IF(AE6=4,(AB8-F7-G7/60)*3600,"")</f>
        <v>16.005416872276335</v>
      </c>
      <c r="I7" s="94">
        <f>IF(AE6=4,SQRT(AA7^2+AB7^2),"")</f>
        <v>400.12017965856165</v>
      </c>
      <c r="J7" s="95"/>
      <c r="K7" s="9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25">
        <f>D7-D6</f>
        <v>-54.733000000007451</v>
      </c>
      <c r="AB7" s="25">
        <f>E7-E6</f>
        <v>-396.35899999999856</v>
      </c>
      <c r="AC7" s="24"/>
      <c r="AD7" s="24"/>
      <c r="AE7" s="24"/>
      <c r="AF7" s="24" t="s">
        <v>27</v>
      </c>
      <c r="AG7" s="24"/>
      <c r="AH7" s="24"/>
      <c r="AI7" s="24"/>
      <c r="AJ7" s="24"/>
      <c r="AK7" s="24"/>
      <c r="AL7" s="24"/>
    </row>
    <row r="8" spans="1:45" s="7" customFormat="1" ht="14.25" customHeight="1" thickTop="1" thickBot="1" x14ac:dyDescent="0.2">
      <c r="B8" s="97"/>
      <c r="C8" s="98"/>
      <c r="D8" s="99" t="str">
        <f>IF(AF5&lt;0,"↑　★ 座標値エラー ★　↑","")</f>
        <v/>
      </c>
      <c r="E8" s="100"/>
      <c r="F8" s="101"/>
      <c r="G8" s="101"/>
      <c r="H8" s="101"/>
      <c r="I8" s="101"/>
      <c r="J8" s="101"/>
      <c r="K8" s="10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">
        <f>IF(AE6=4,ATAN2(AA7,AB7)*180/PI(),0)</f>
        <v>-97.86222071753545</v>
      </c>
      <c r="AB8" s="1">
        <f>IF(0&gt;AA8,AA8+360,AA8)</f>
        <v>262.13777928246452</v>
      </c>
      <c r="AC8" s="1"/>
      <c r="AD8" s="1"/>
      <c r="AE8" s="1"/>
      <c r="AF8" s="1">
        <f>TAN(AB8*PI()/180)</f>
        <v>7.2416823488561448</v>
      </c>
      <c r="AG8" s="1"/>
      <c r="AH8" s="1"/>
      <c r="AI8" s="1"/>
      <c r="AJ8" s="1"/>
      <c r="AK8" s="1"/>
      <c r="AL8" s="1"/>
    </row>
    <row r="9" spans="1:45" ht="16.5" customHeight="1" thickTop="1" x14ac:dyDescent="0.15">
      <c r="B9" s="103" t="s">
        <v>0</v>
      </c>
      <c r="C9" s="104"/>
      <c r="D9" s="105" t="s">
        <v>21</v>
      </c>
      <c r="E9" s="105"/>
      <c r="F9" s="106" t="s">
        <v>23</v>
      </c>
      <c r="G9" s="107"/>
      <c r="H9" s="108" t="s">
        <v>49</v>
      </c>
      <c r="I9" s="109"/>
      <c r="J9" s="110"/>
      <c r="K9" s="111" t="s">
        <v>11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"/>
      <c r="AB9" s="1">
        <f>ROUND(AB8,5)</f>
        <v>262.13778000000002</v>
      </c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45" ht="16.5" customHeight="1" thickBot="1" x14ac:dyDescent="0.2">
      <c r="B10" s="69"/>
      <c r="C10" s="70"/>
      <c r="D10" s="71" t="s">
        <v>18</v>
      </c>
      <c r="E10" s="72" t="s">
        <v>19</v>
      </c>
      <c r="F10" s="112"/>
      <c r="G10" s="113"/>
      <c r="H10" s="114" t="s">
        <v>36</v>
      </c>
      <c r="I10" s="115" t="s">
        <v>12</v>
      </c>
      <c r="J10" s="115" t="s">
        <v>13</v>
      </c>
      <c r="K10" s="116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"/>
      <c r="AB10" s="1"/>
      <c r="AC10" s="1"/>
      <c r="AD10" s="1"/>
      <c r="AE10" s="1"/>
      <c r="AF10" s="1" t="s">
        <v>15</v>
      </c>
      <c r="AG10" s="1" t="s">
        <v>16</v>
      </c>
      <c r="AH10" s="1" t="s">
        <v>28</v>
      </c>
      <c r="AI10" s="39" t="s">
        <v>29</v>
      </c>
      <c r="AJ10" s="1" t="s">
        <v>33</v>
      </c>
      <c r="AK10" s="1" t="s">
        <v>34</v>
      </c>
      <c r="AL10" s="1" t="s">
        <v>35</v>
      </c>
      <c r="AM10" s="13" t="s">
        <v>30</v>
      </c>
      <c r="AN10" s="13" t="s">
        <v>31</v>
      </c>
      <c r="AO10" s="13" t="s">
        <v>32</v>
      </c>
      <c r="AP10" s="13" t="s">
        <v>37</v>
      </c>
      <c r="AQ10" s="13" t="s">
        <v>38</v>
      </c>
    </row>
    <row r="11" spans="1:45" ht="17.25" customHeight="1" thickTop="1" x14ac:dyDescent="0.15">
      <c r="A11" s="49" t="str">
        <f>IF(AND(AE11=3,AD12&lt;0),"★","")</f>
        <v/>
      </c>
      <c r="B11" s="117">
        <v>1</v>
      </c>
      <c r="C11" s="118" t="s">
        <v>46</v>
      </c>
      <c r="D11" s="119">
        <v>174072.66200000001</v>
      </c>
      <c r="E11" s="119">
        <v>-13900.303</v>
      </c>
      <c r="F11" s="120">
        <v>1000</v>
      </c>
      <c r="G11" s="121"/>
      <c r="H11" s="40" t="s">
        <v>24</v>
      </c>
      <c r="I11" s="122">
        <f>IF(AE12=4,AL12,"")</f>
        <v>175068.86090103857</v>
      </c>
      <c r="J11" s="122">
        <f>IF(AE12=4,AM12,"")</f>
        <v>-13987.410689497214</v>
      </c>
      <c r="K11" s="123">
        <f>IF(AE12=4,AP12,"")</f>
        <v>99.999699157953032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"/>
      <c r="AB11" s="1"/>
      <c r="AC11" s="1"/>
      <c r="AD11" s="1"/>
      <c r="AE11" s="1">
        <f>SUM(AA12:AC12)</f>
        <v>3</v>
      </c>
      <c r="AF11" s="1"/>
      <c r="AG11" s="1"/>
      <c r="AH11" s="26"/>
      <c r="AI11" s="27"/>
      <c r="AJ11" s="27"/>
      <c r="AK11" s="27"/>
      <c r="AL11" s="27"/>
      <c r="AM11" s="23"/>
      <c r="AN11" s="23"/>
      <c r="AO11" s="23"/>
      <c r="AP11" s="23"/>
      <c r="AQ11" s="23"/>
      <c r="AR11" s="23"/>
      <c r="AS11" s="16"/>
    </row>
    <row r="12" spans="1:45" ht="17.25" customHeight="1" x14ac:dyDescent="0.15">
      <c r="A12" s="49"/>
      <c r="B12" s="124"/>
      <c r="C12" s="125" t="s">
        <v>14</v>
      </c>
      <c r="D12" s="125" t="s">
        <v>14</v>
      </c>
      <c r="E12" s="125" t="s">
        <v>14</v>
      </c>
      <c r="F12" s="126" t="s">
        <v>10</v>
      </c>
      <c r="G12" s="127"/>
      <c r="H12" s="41" t="s">
        <v>25</v>
      </c>
      <c r="I12" s="128">
        <f>IF(AE12=4,AN12,"")</f>
        <v>175055.18652751663</v>
      </c>
      <c r="J12" s="128">
        <f>IF(AE12=4,AO12,"")</f>
        <v>-14086.436158862798</v>
      </c>
      <c r="K12" s="129">
        <f>IF(AE12=4,AQ12,"")</f>
        <v>199.96485345829748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4">
        <f>IF(D11&lt;&gt;"",1,0)</f>
        <v>1</v>
      </c>
      <c r="AB12" s="24">
        <f>IF(E11&lt;&gt;"",1,0)</f>
        <v>1</v>
      </c>
      <c r="AC12" s="24">
        <f>IF(F11&lt;&gt;"",1,0)</f>
        <v>1</v>
      </c>
      <c r="AD12" s="24">
        <f>IF(AI12&lt;0,-1,0)</f>
        <v>0</v>
      </c>
      <c r="AE12" s="24">
        <f>$AE$6*AA12*AB12*AC12+AD12</f>
        <v>4</v>
      </c>
      <c r="AF12" s="25">
        <f>$D$6-D11</f>
        <v>1009.877999999997</v>
      </c>
      <c r="AG12" s="25">
        <f>$E$6-E11</f>
        <v>11.951999999999316</v>
      </c>
      <c r="AH12" s="1">
        <f>AF12*$AF$8-AG12</f>
        <v>7301.2636870981241</v>
      </c>
      <c r="AI12" s="1">
        <f>F11^2*($AF$8^2+1)-AH12^2</f>
        <v>133511.81319694966</v>
      </c>
      <c r="AJ12" s="27">
        <f>$AF$8*AH12</f>
        <v>52873.432367202819</v>
      </c>
      <c r="AK12" s="1">
        <f>$AF$8^2+1</f>
        <v>53.441963241734648</v>
      </c>
      <c r="AL12" s="1">
        <f>IF(OR($AB$8=90,$AB$8=270),$D$6,(AJ12+SQRT(AI12))/AK12+D11)</f>
        <v>175068.86090103857</v>
      </c>
      <c r="AM12" s="7">
        <f>IF(OR($AB$8=90,$AB$8=270),$D$6,(AJ12+SQRT(AI12))/AK12*$AF$8-AH12+E11)</f>
        <v>-13987.410689497214</v>
      </c>
      <c r="AN12" s="23">
        <f>IF(OR($AB$8=90,$AB$8=270),$D$6,(AJ12-SQRT(AI12))/AK12+D11)</f>
        <v>175055.18652751663</v>
      </c>
      <c r="AO12" s="23">
        <f>IF(OR($AB$8=90,$AB$8=270),$D$6,(AJ12-SQRT(AI12))/AK12*$AF$8-AH12+E11)</f>
        <v>-14086.436158862798</v>
      </c>
      <c r="AP12" s="23">
        <f>SQRT(($D$6-AL12)^2+($E$6-AM12)^2)</f>
        <v>99.999699157953032</v>
      </c>
      <c r="AQ12" s="23">
        <f>SQRT(($D$6-AN12)^2+($E$6-AO12)^2)</f>
        <v>199.96485345829748</v>
      </c>
      <c r="AR12" s="23"/>
      <c r="AS12" s="16"/>
    </row>
    <row r="13" spans="1:45" ht="17.25" customHeight="1" x14ac:dyDescent="0.15">
      <c r="A13" s="49" t="str">
        <f>IF(AND(AE13=3,AD14&lt;0),"★","")</f>
        <v/>
      </c>
      <c r="B13" s="130">
        <v>2</v>
      </c>
      <c r="C13" s="118" t="s">
        <v>47</v>
      </c>
      <c r="D13" s="131">
        <v>175055.18799999999</v>
      </c>
      <c r="E13" s="131">
        <v>-14086.43</v>
      </c>
      <c r="F13" s="132">
        <v>300</v>
      </c>
      <c r="G13" s="133"/>
      <c r="H13" s="42" t="s">
        <v>24</v>
      </c>
      <c r="I13" s="134">
        <f>IF(AE14=4,AL14,"")</f>
        <v>175096.22480997164</v>
      </c>
      <c r="J13" s="134">
        <f>IF(AE14=4,AM14,"")</f>
        <v>-13789.249953180986</v>
      </c>
      <c r="K13" s="135">
        <f>IF(AE14=4,AP14,"")</f>
        <v>100.04144893285026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"/>
      <c r="AB13" s="1"/>
      <c r="AC13" s="1"/>
      <c r="AD13" s="1"/>
      <c r="AE13" s="1">
        <f>SUM(AA14:AC14)</f>
        <v>3</v>
      </c>
      <c r="AF13" s="1"/>
      <c r="AG13" s="1"/>
      <c r="AH13" s="26"/>
      <c r="AI13" s="27"/>
      <c r="AJ13" s="27"/>
      <c r="AK13" s="27"/>
      <c r="AL13" s="27"/>
      <c r="AM13" s="23"/>
      <c r="AN13" s="23"/>
      <c r="AO13" s="23"/>
      <c r="AP13" s="23"/>
      <c r="AQ13" s="23"/>
      <c r="AR13" s="23"/>
      <c r="AS13" s="16"/>
    </row>
    <row r="14" spans="1:45" ht="17.25" customHeight="1" x14ac:dyDescent="0.15">
      <c r="A14" s="49"/>
      <c r="B14" s="124"/>
      <c r="C14" s="125" t="s">
        <v>14</v>
      </c>
      <c r="D14" s="125" t="s">
        <v>14</v>
      </c>
      <c r="E14" s="125" t="s">
        <v>14</v>
      </c>
      <c r="F14" s="126" t="s">
        <v>10</v>
      </c>
      <c r="G14" s="127"/>
      <c r="H14" s="41" t="s">
        <v>25</v>
      </c>
      <c r="I14" s="128">
        <f>IF(AE14=4,AN14,"")</f>
        <v>175014.14996928762</v>
      </c>
      <c r="J14" s="128">
        <f>IF(AE14=4,AO14,"")</f>
        <v>-14383.609878247587</v>
      </c>
      <c r="K14" s="129">
        <f>IF(AE14=4,AQ14,"")</f>
        <v>499.95855106588471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24">
        <f>IF(D13&lt;&gt;"",1,0)</f>
        <v>1</v>
      </c>
      <c r="AB14" s="24">
        <f>IF(E13&lt;&gt;"",1,0)</f>
        <v>1</v>
      </c>
      <c r="AC14" s="24">
        <f>IF(F13&lt;&gt;"",1,0)</f>
        <v>1</v>
      </c>
      <c r="AD14" s="24">
        <f>IF(AI14&lt;0,-1,0)</f>
        <v>0</v>
      </c>
      <c r="AE14" s="24">
        <f>$AE$6*AA14*AB14*AC14+AD14</f>
        <v>4</v>
      </c>
      <c r="AF14" s="25">
        <f>$D$6-D13</f>
        <v>27.352000000013504</v>
      </c>
      <c r="AG14" s="25">
        <f>$E$6-E13</f>
        <v>198.07899999999972</v>
      </c>
      <c r="AH14" s="1">
        <f>AF14*$AF$8-AG14</f>
        <v>-4.5043939886681983E-3</v>
      </c>
      <c r="AI14" s="1">
        <f>F13^2*($AF$8^2+1)-AH14^2</f>
        <v>4809776.6917358283</v>
      </c>
      <c r="AJ14" s="27">
        <f>$AF$8*AH14</f>
        <v>-3.2619390440032217E-2</v>
      </c>
      <c r="AK14" s="1">
        <f>$AF$8^2+1</f>
        <v>53.441963241734648</v>
      </c>
      <c r="AL14" s="1">
        <f>IF(OR($AB$8=90,$AB$8=270),$D$6,(AJ14+SQRT(AI14))/AK14+D13)</f>
        <v>175096.22480997164</v>
      </c>
      <c r="AM14" s="7">
        <f>IF(OR($AB$8=90,$AB$8=270),$D$6,(AJ14+SQRT(AI14))/AK14*$AF$8-AH14+E13)</f>
        <v>-13789.249953180986</v>
      </c>
      <c r="AN14" s="23">
        <f>IF(OR($AB$8=90,$AB$8=270),$D$6,(AJ14-SQRT(AI14))/AK14+D13)</f>
        <v>175014.14996928762</v>
      </c>
      <c r="AO14" s="23">
        <f>IF(OR($AB$8=90,$AB$8=270),$D$6,(AJ14-SQRT(AI14))/AK14*$AF$8-AH14+E13)</f>
        <v>-14383.609878247587</v>
      </c>
      <c r="AP14" s="23">
        <f>SQRT(($D$6-AL14)^2+($E$6-AM14)^2)</f>
        <v>100.04144893285026</v>
      </c>
      <c r="AQ14" s="23">
        <f>SQRT(($D$6-AN14)^2+($E$6-AO14)^2)</f>
        <v>499.95855106588471</v>
      </c>
      <c r="AR14" s="23"/>
      <c r="AS14" s="16"/>
    </row>
    <row r="15" spans="1:45" ht="17.25" customHeight="1" x14ac:dyDescent="0.15">
      <c r="A15" s="49" t="str">
        <f>IF(AND(AE15=3,AD16&lt;0),"★","")</f>
        <v/>
      </c>
      <c r="B15" s="130">
        <v>3</v>
      </c>
      <c r="C15" s="136"/>
      <c r="D15" s="131"/>
      <c r="E15" s="131"/>
      <c r="F15" s="132"/>
      <c r="G15" s="133"/>
      <c r="H15" s="42" t="s">
        <v>24</v>
      </c>
      <c r="I15" s="134" t="str">
        <f>IF(AE16=4,AL16,"")</f>
        <v/>
      </c>
      <c r="J15" s="134" t="str">
        <f>IF(AE16=4,AM16,"")</f>
        <v/>
      </c>
      <c r="K15" s="135" t="str">
        <f>IF(AE16=4,AP16,"")</f>
        <v/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"/>
      <c r="AB15" s="1"/>
      <c r="AC15" s="1"/>
      <c r="AD15" s="1"/>
      <c r="AE15" s="1">
        <f>SUM(AA16:AC16)</f>
        <v>0</v>
      </c>
      <c r="AF15" s="1"/>
      <c r="AG15" s="1"/>
      <c r="AH15" s="26"/>
      <c r="AI15" s="27"/>
      <c r="AJ15" s="27"/>
      <c r="AK15" s="27"/>
      <c r="AL15" s="27"/>
      <c r="AM15" s="23"/>
      <c r="AN15" s="23"/>
      <c r="AO15" s="23"/>
      <c r="AP15" s="23"/>
      <c r="AQ15" s="23"/>
      <c r="AR15" s="16"/>
      <c r="AS15" s="16"/>
    </row>
    <row r="16" spans="1:45" ht="17.25" customHeight="1" x14ac:dyDescent="0.15">
      <c r="A16" s="49"/>
      <c r="B16" s="124"/>
      <c r="C16" s="125" t="s">
        <v>14</v>
      </c>
      <c r="D16" s="125" t="s">
        <v>14</v>
      </c>
      <c r="E16" s="125" t="s">
        <v>14</v>
      </c>
      <c r="F16" s="126" t="s">
        <v>10</v>
      </c>
      <c r="G16" s="127"/>
      <c r="H16" s="41" t="s">
        <v>25</v>
      </c>
      <c r="I16" s="128" t="str">
        <f>IF(AE16=4,AN16,"")</f>
        <v/>
      </c>
      <c r="J16" s="128" t="str">
        <f>IF(AE16=4,AO16,"")</f>
        <v/>
      </c>
      <c r="K16" s="129" t="str">
        <f>IF(AE16=4,AQ16,"")</f>
        <v/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24">
        <f>IF(D15&lt;&gt;"",1,0)</f>
        <v>0</v>
      </c>
      <c r="AB16" s="24">
        <f>IF(E15&lt;&gt;"",1,0)</f>
        <v>0</v>
      </c>
      <c r="AC16" s="24">
        <f>IF(F15&lt;&gt;"",1,0)</f>
        <v>0</v>
      </c>
      <c r="AD16" s="24">
        <f>IF(AI16&lt;0,-1,0)</f>
        <v>-1</v>
      </c>
      <c r="AE16" s="24">
        <f>$AE$6*AA16*AB16*AC16+AD16</f>
        <v>-1</v>
      </c>
      <c r="AF16" s="25">
        <f>$D$6-D15</f>
        <v>175082.54</v>
      </c>
      <c r="AG16" s="25">
        <f>$E$6-E15</f>
        <v>-13888.351000000001</v>
      </c>
      <c r="AH16" s="1">
        <f>AF16*$AF$8-AG16</f>
        <v>1281780.4905109</v>
      </c>
      <c r="AI16" s="1">
        <f>F15^2*($AF$8^2+1)-AH16^2</f>
        <v>-1642961225854.3635</v>
      </c>
      <c r="AJ16" s="27">
        <f>$AF$8*AH16</f>
        <v>9282247.1532409564</v>
      </c>
      <c r="AK16" s="1">
        <f>$AF$8^2+1</f>
        <v>53.441963241734648</v>
      </c>
      <c r="AL16" s="1" t="e">
        <f>IF(OR($AB$8=90,$AB$8=270),$D$6,(AJ16+SQRT(AI16))/AK16+D15)</f>
        <v>#NUM!</v>
      </c>
      <c r="AM16" s="7" t="e">
        <f>IF(OR($AB$8=90,$AB$8=270),$D$6,(AJ16+SQRT(AI16))/AK16*$AF$8-AH16+E15)</f>
        <v>#NUM!</v>
      </c>
      <c r="AN16" s="23" t="e">
        <f>IF(OR($AB$8=90,$AB$8=270),$D$6,(AJ16-SQRT(AI16))/AK16+D15)</f>
        <v>#NUM!</v>
      </c>
      <c r="AO16" s="23" t="e">
        <f>IF(OR($AB$8=90,$AB$8=270),$D$6,(AJ16-SQRT(AI16))/AK16*$AF$8-AH16+E15)</f>
        <v>#NUM!</v>
      </c>
      <c r="AP16" s="23" t="e">
        <f>SQRT(($D$6-AL16)^2+($E$6-AM16)^2)</f>
        <v>#NUM!</v>
      </c>
      <c r="AQ16" s="23" t="e">
        <f>SQRT(($D$6-AN16)^2+($E$6-AO16)^2)</f>
        <v>#NUM!</v>
      </c>
      <c r="AR16" s="16"/>
      <c r="AS16" s="16"/>
    </row>
    <row r="17" spans="1:45" ht="17.25" customHeight="1" x14ac:dyDescent="0.15">
      <c r="A17" s="49" t="str">
        <f>IF(AND(AE17=3,AD18&lt;0),"★","")</f>
        <v/>
      </c>
      <c r="B17" s="130">
        <v>4</v>
      </c>
      <c r="C17" s="136"/>
      <c r="D17" s="131"/>
      <c r="E17" s="131"/>
      <c r="F17" s="132"/>
      <c r="G17" s="133"/>
      <c r="H17" s="42" t="s">
        <v>24</v>
      </c>
      <c r="I17" s="134" t="str">
        <f>IF(AE18=4,AL18,"")</f>
        <v/>
      </c>
      <c r="J17" s="134" t="str">
        <f>IF(AE18=4,AM18,"")</f>
        <v/>
      </c>
      <c r="K17" s="135" t="str">
        <f>IF(AE18=4,AP18,"")</f>
        <v/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"/>
      <c r="AB17" s="1"/>
      <c r="AC17" s="1"/>
      <c r="AD17" s="1"/>
      <c r="AE17" s="1">
        <f>SUM(AA18:AC18)</f>
        <v>0</v>
      </c>
      <c r="AF17" s="1"/>
      <c r="AG17" s="1"/>
      <c r="AH17" s="26"/>
      <c r="AI17" s="27"/>
      <c r="AJ17" s="27"/>
      <c r="AK17" s="27"/>
      <c r="AL17" s="27"/>
      <c r="AM17" s="23"/>
      <c r="AN17" s="23"/>
      <c r="AO17" s="23"/>
      <c r="AP17" s="23"/>
      <c r="AR17" s="16"/>
      <c r="AS17" s="16"/>
    </row>
    <row r="18" spans="1:45" ht="17.25" customHeight="1" x14ac:dyDescent="0.15">
      <c r="A18" s="49"/>
      <c r="B18" s="124"/>
      <c r="C18" s="125" t="s">
        <v>14</v>
      </c>
      <c r="D18" s="125" t="s">
        <v>14</v>
      </c>
      <c r="E18" s="125" t="s">
        <v>14</v>
      </c>
      <c r="F18" s="126" t="s">
        <v>10</v>
      </c>
      <c r="G18" s="127"/>
      <c r="H18" s="41" t="s">
        <v>25</v>
      </c>
      <c r="I18" s="128" t="str">
        <f>IF(AE18=4,AN18,"")</f>
        <v/>
      </c>
      <c r="J18" s="128" t="str">
        <f>IF(AE18=4,AO18,"")</f>
        <v/>
      </c>
      <c r="K18" s="129" t="str">
        <f>IF(AE18=4,AQ18,"")</f>
        <v/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24">
        <f>IF(D17&lt;&gt;"",1,0)</f>
        <v>0</v>
      </c>
      <c r="AB18" s="24">
        <f>IF(E17&lt;&gt;"",1,0)</f>
        <v>0</v>
      </c>
      <c r="AC18" s="24">
        <f>IF(F17&lt;&gt;"",1,0)</f>
        <v>0</v>
      </c>
      <c r="AD18" s="24">
        <f>IF(AI18&lt;0,-1,0)</f>
        <v>-1</v>
      </c>
      <c r="AE18" s="24">
        <f>$AE$6*AA18*AB18*AC18+AD18</f>
        <v>-1</v>
      </c>
      <c r="AF18" s="25">
        <f>$D$6-D17</f>
        <v>175082.54</v>
      </c>
      <c r="AG18" s="25">
        <f>$E$6-E17</f>
        <v>-13888.351000000001</v>
      </c>
      <c r="AH18" s="1">
        <f>AF18*$AF$8-AG18</f>
        <v>1281780.4905109</v>
      </c>
      <c r="AI18" s="1">
        <f>F17^2*($AF$8^2+1)-AH18^2</f>
        <v>-1642961225854.3635</v>
      </c>
      <c r="AJ18" s="27">
        <f>$AF$8*AH18</f>
        <v>9282247.1532409564</v>
      </c>
      <c r="AK18" s="1">
        <f>$AF$8^2+1</f>
        <v>53.441963241734648</v>
      </c>
      <c r="AL18" s="1" t="e">
        <f>IF(OR($AB$8=90,$AB$8=270),$D$6,(AJ18+SQRT(AI18))/AK18+D17)</f>
        <v>#NUM!</v>
      </c>
      <c r="AM18" s="7" t="e">
        <f>IF(OR($AB$8=90,$AB$8=270),$D$6,(AJ18+SQRT(AI18))/AK18*$AF$8-AH18+E17)</f>
        <v>#NUM!</v>
      </c>
      <c r="AN18" s="23" t="e">
        <f>IF(OR($AB$8=90,$AB$8=270),$D$6,(AJ18-SQRT(AI18))/AK18+D17)</f>
        <v>#NUM!</v>
      </c>
      <c r="AO18" s="23" t="e">
        <f>IF(OR($AB$8=90,$AB$8=270),$D$6,(AJ18-SQRT(AI18))/AK18*$AF$8-AH18+E17)</f>
        <v>#NUM!</v>
      </c>
      <c r="AP18" s="23" t="e">
        <f>SQRT(($D$6-AL18)^2+($E$6-AM18)^2)</f>
        <v>#NUM!</v>
      </c>
      <c r="AQ18" s="23" t="e">
        <f>SQRT(($D$6-AN18)^2+($E$6-AO18)^2)</f>
        <v>#NUM!</v>
      </c>
      <c r="AR18" s="16"/>
      <c r="AS18" s="16"/>
    </row>
    <row r="19" spans="1:45" ht="17.25" customHeight="1" x14ac:dyDescent="0.15">
      <c r="A19" s="49" t="str">
        <f>IF(AND(AE19=3,AD20&lt;0),"★","")</f>
        <v/>
      </c>
      <c r="B19" s="130">
        <v>5</v>
      </c>
      <c r="C19" s="136"/>
      <c r="D19" s="131"/>
      <c r="E19" s="131"/>
      <c r="F19" s="132"/>
      <c r="G19" s="133"/>
      <c r="H19" s="42" t="s">
        <v>24</v>
      </c>
      <c r="I19" s="134" t="str">
        <f>IF(AE20=4,AL20,"")</f>
        <v/>
      </c>
      <c r="J19" s="134" t="str">
        <f>IF(AE20=4,AM20,"")</f>
        <v/>
      </c>
      <c r="K19" s="135" t="str">
        <f>IF(AE20=4,AP20,"")</f>
        <v/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"/>
      <c r="AB19" s="1"/>
      <c r="AC19" s="1"/>
      <c r="AD19" s="1"/>
      <c r="AE19" s="1">
        <f>SUM(AA20:AC20)</f>
        <v>0</v>
      </c>
      <c r="AF19" s="1"/>
      <c r="AG19" s="1"/>
      <c r="AH19" s="26"/>
      <c r="AI19" s="27"/>
      <c r="AJ19" s="27"/>
      <c r="AK19" s="27"/>
      <c r="AL19" s="27"/>
      <c r="AM19" s="23"/>
      <c r="AN19" s="23"/>
      <c r="AO19" s="23"/>
      <c r="AP19" s="23"/>
      <c r="AR19" s="16"/>
      <c r="AS19" s="16"/>
    </row>
    <row r="20" spans="1:45" ht="17.25" customHeight="1" x14ac:dyDescent="0.15">
      <c r="A20" s="49"/>
      <c r="B20" s="124"/>
      <c r="C20" s="125" t="s">
        <v>14</v>
      </c>
      <c r="D20" s="125" t="s">
        <v>14</v>
      </c>
      <c r="E20" s="125" t="s">
        <v>14</v>
      </c>
      <c r="F20" s="126" t="s">
        <v>10</v>
      </c>
      <c r="G20" s="127"/>
      <c r="H20" s="41" t="s">
        <v>25</v>
      </c>
      <c r="I20" s="128" t="str">
        <f>IF(AE20=4,AN20,"")</f>
        <v/>
      </c>
      <c r="J20" s="128" t="str">
        <f>IF(AE20=4,AO20,"")</f>
        <v/>
      </c>
      <c r="K20" s="129" t="str">
        <f>IF(AE20=4,AQ20,"")</f>
        <v/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24">
        <f>IF(D19&lt;&gt;"",1,0)</f>
        <v>0</v>
      </c>
      <c r="AB20" s="24">
        <f>IF(E19&lt;&gt;"",1,0)</f>
        <v>0</v>
      </c>
      <c r="AC20" s="24">
        <f>IF(F19&lt;&gt;"",1,0)</f>
        <v>0</v>
      </c>
      <c r="AD20" s="24">
        <f>IF(AI20&lt;0,-1,0)</f>
        <v>-1</v>
      </c>
      <c r="AE20" s="24">
        <f>$AE$6*AA20*AB20*AC20+AD20</f>
        <v>-1</v>
      </c>
      <c r="AF20" s="25">
        <f>$D$6-D19</f>
        <v>175082.54</v>
      </c>
      <c r="AG20" s="25">
        <f>$E$6-E19</f>
        <v>-13888.351000000001</v>
      </c>
      <c r="AH20" s="1">
        <f>AF20*$AF$8-AG20</f>
        <v>1281780.4905109</v>
      </c>
      <c r="AI20" s="1">
        <f>F19^2*($AF$8^2+1)-AH20^2</f>
        <v>-1642961225854.3635</v>
      </c>
      <c r="AJ20" s="27">
        <f>$AF$8*AH20</f>
        <v>9282247.1532409564</v>
      </c>
      <c r="AK20" s="1">
        <f>$AF$8^2+1</f>
        <v>53.441963241734648</v>
      </c>
      <c r="AL20" s="1" t="e">
        <f>IF(OR($AB$8=90,$AB$8=270),$D$6,(AJ20+SQRT(AI20))/AK20+D19)</f>
        <v>#NUM!</v>
      </c>
      <c r="AM20" s="7" t="e">
        <f>IF(OR($AB$8=90,$AB$8=270),$D$6,(AJ20+SQRT(AI20))/AK20*$AF$8-AH20+E19)</f>
        <v>#NUM!</v>
      </c>
      <c r="AN20" s="23" t="e">
        <f>IF(OR($AB$8=90,$AB$8=270),$D$6,(AJ20-SQRT(AI20))/AK20+D19)</f>
        <v>#NUM!</v>
      </c>
      <c r="AO20" s="23" t="e">
        <f>IF(OR($AB$8=90,$AB$8=270),$D$6,(AJ20-SQRT(AI20))/AK20*$AF$8-AH20+E19)</f>
        <v>#NUM!</v>
      </c>
      <c r="AP20" s="23" t="e">
        <f>SQRT(($D$6-AL20)^2+($E$6-AM20)^2)</f>
        <v>#NUM!</v>
      </c>
      <c r="AQ20" s="23" t="e">
        <f>SQRT(($D$6-AN20)^2+($E$6-AO20)^2)</f>
        <v>#NUM!</v>
      </c>
      <c r="AR20" s="16"/>
      <c r="AS20" s="16"/>
    </row>
    <row r="21" spans="1:45" ht="17.25" customHeight="1" x14ac:dyDescent="0.15">
      <c r="A21" s="49" t="str">
        <f>IF(AND(AE21=3,AD22&lt;0),"★","")</f>
        <v/>
      </c>
      <c r="B21" s="130">
        <v>6</v>
      </c>
      <c r="C21" s="136"/>
      <c r="D21" s="131"/>
      <c r="E21" s="131"/>
      <c r="F21" s="132"/>
      <c r="G21" s="133"/>
      <c r="H21" s="42" t="s">
        <v>24</v>
      </c>
      <c r="I21" s="134" t="str">
        <f>IF(AE22=4,AL22,"")</f>
        <v/>
      </c>
      <c r="J21" s="134" t="str">
        <f>IF(AE22=4,AM22,"")</f>
        <v/>
      </c>
      <c r="K21" s="135" t="str">
        <f>IF(AE22=4,AP22,"")</f>
        <v/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"/>
      <c r="AB21" s="1"/>
      <c r="AC21" s="1"/>
      <c r="AD21" s="1"/>
      <c r="AE21" s="1">
        <f>SUM(AA22:AC22)</f>
        <v>0</v>
      </c>
      <c r="AF21" s="1"/>
      <c r="AG21" s="1"/>
      <c r="AH21" s="26"/>
      <c r="AI21" s="27"/>
      <c r="AJ21" s="27"/>
      <c r="AK21" s="27"/>
      <c r="AL21" s="27"/>
      <c r="AM21" s="23"/>
      <c r="AN21" s="23"/>
      <c r="AO21" s="23"/>
      <c r="AP21" s="23"/>
      <c r="AR21" s="16"/>
      <c r="AS21" s="16"/>
    </row>
    <row r="22" spans="1:45" ht="17.25" customHeight="1" x14ac:dyDescent="0.15">
      <c r="A22" s="49"/>
      <c r="B22" s="124"/>
      <c r="C22" s="125" t="s">
        <v>14</v>
      </c>
      <c r="D22" s="125" t="s">
        <v>14</v>
      </c>
      <c r="E22" s="125" t="s">
        <v>14</v>
      </c>
      <c r="F22" s="126" t="s">
        <v>10</v>
      </c>
      <c r="G22" s="127"/>
      <c r="H22" s="41" t="s">
        <v>25</v>
      </c>
      <c r="I22" s="128" t="str">
        <f>IF(AE22=4,AN22,"")</f>
        <v/>
      </c>
      <c r="J22" s="128" t="str">
        <f>IF(AE22=4,AO22,"")</f>
        <v/>
      </c>
      <c r="K22" s="129" t="str">
        <f>IF(AE22=4,AQ22,"")</f>
        <v/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24">
        <f>IF(D21&lt;&gt;"",1,0)</f>
        <v>0</v>
      </c>
      <c r="AB22" s="24">
        <f>IF(E21&lt;&gt;"",1,0)</f>
        <v>0</v>
      </c>
      <c r="AC22" s="24">
        <f>IF(F21&lt;&gt;"",1,0)</f>
        <v>0</v>
      </c>
      <c r="AD22" s="24">
        <f>IF(AI22&lt;0,-1,0)</f>
        <v>-1</v>
      </c>
      <c r="AE22" s="24">
        <f>$AE$6*AA22*AB22*AC22+AD22</f>
        <v>-1</v>
      </c>
      <c r="AF22" s="25">
        <f>$D$6-D21</f>
        <v>175082.54</v>
      </c>
      <c r="AG22" s="25">
        <f>$E$6-E21</f>
        <v>-13888.351000000001</v>
      </c>
      <c r="AH22" s="1">
        <f>AF22*$AF$8-AG22</f>
        <v>1281780.4905109</v>
      </c>
      <c r="AI22" s="1">
        <f>F21^2*($AF$8^2+1)-AH22^2</f>
        <v>-1642961225854.3635</v>
      </c>
      <c r="AJ22" s="27">
        <f>$AF$8*AH22</f>
        <v>9282247.1532409564</v>
      </c>
      <c r="AK22" s="1">
        <f>$AF$8^2+1</f>
        <v>53.441963241734648</v>
      </c>
      <c r="AL22" s="1" t="e">
        <f>IF(OR($AB$8=90,$AB$8=270),$D$6,(AJ22+SQRT(AI22))/AK22+D21)</f>
        <v>#NUM!</v>
      </c>
      <c r="AM22" s="7" t="e">
        <f>IF(OR($AB$8=90,$AB$8=270),$D$6,(AJ22+SQRT(AI22))/AK22*$AF$8-AH22+E21)</f>
        <v>#NUM!</v>
      </c>
      <c r="AN22" s="23" t="e">
        <f>IF(OR($AB$8=90,$AB$8=270),$D$6,(AJ22-SQRT(AI22))/AK22+D21)</f>
        <v>#NUM!</v>
      </c>
      <c r="AO22" s="23" t="e">
        <f>IF(OR($AB$8=90,$AB$8=270),$D$6,(AJ22-SQRT(AI22))/AK22*$AF$8-AH22+E21)</f>
        <v>#NUM!</v>
      </c>
      <c r="AP22" s="23" t="e">
        <f>SQRT(($D$6-AL22)^2+($E$6-AM22)^2)</f>
        <v>#NUM!</v>
      </c>
      <c r="AQ22" s="23" t="e">
        <f>SQRT(($D$6-AN22)^2+($E$6-AO22)^2)</f>
        <v>#NUM!</v>
      </c>
      <c r="AR22" s="16"/>
      <c r="AS22" s="16"/>
    </row>
    <row r="23" spans="1:45" ht="17.25" customHeight="1" x14ac:dyDescent="0.15">
      <c r="A23" s="49" t="str">
        <f>IF(AND(AE23=3,AD24&lt;0),"★","")</f>
        <v/>
      </c>
      <c r="B23" s="130">
        <v>7</v>
      </c>
      <c r="C23" s="136"/>
      <c r="D23" s="131"/>
      <c r="E23" s="131"/>
      <c r="F23" s="132"/>
      <c r="G23" s="133"/>
      <c r="H23" s="42" t="s">
        <v>24</v>
      </c>
      <c r="I23" s="134" t="str">
        <f>IF(AE24=4,AL24,"")</f>
        <v/>
      </c>
      <c r="J23" s="134" t="str">
        <f>IF(AE24=4,AM24,"")</f>
        <v/>
      </c>
      <c r="K23" s="135" t="str">
        <f>IF(AE24=4,AP24,"")</f>
        <v/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"/>
      <c r="AB23" s="1"/>
      <c r="AC23" s="1"/>
      <c r="AD23" s="1"/>
      <c r="AE23" s="1">
        <f>SUM(AA24:AC24)</f>
        <v>0</v>
      </c>
      <c r="AF23" s="1"/>
      <c r="AG23" s="1"/>
      <c r="AH23" s="26"/>
      <c r="AI23" s="27"/>
      <c r="AJ23" s="27"/>
      <c r="AK23" s="27"/>
      <c r="AL23" s="27"/>
      <c r="AM23" s="23"/>
      <c r="AN23" s="23"/>
      <c r="AO23" s="23"/>
      <c r="AP23" s="23"/>
      <c r="AR23" s="16"/>
      <c r="AS23" s="16"/>
    </row>
    <row r="24" spans="1:45" ht="17.25" customHeight="1" x14ac:dyDescent="0.15">
      <c r="A24" s="49"/>
      <c r="B24" s="124"/>
      <c r="C24" s="125" t="s">
        <v>14</v>
      </c>
      <c r="D24" s="125" t="s">
        <v>14</v>
      </c>
      <c r="E24" s="125" t="s">
        <v>14</v>
      </c>
      <c r="F24" s="126" t="s">
        <v>10</v>
      </c>
      <c r="G24" s="127"/>
      <c r="H24" s="41" t="s">
        <v>25</v>
      </c>
      <c r="I24" s="128" t="str">
        <f>IF(AE24=4,AN24,"")</f>
        <v/>
      </c>
      <c r="J24" s="128" t="str">
        <f>IF(AE24=4,AO24,"")</f>
        <v/>
      </c>
      <c r="K24" s="129" t="str">
        <f>IF(AE24=4,AQ24,"")</f>
        <v/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24">
        <f>IF(D23&lt;&gt;"",1,0)</f>
        <v>0</v>
      </c>
      <c r="AB24" s="24">
        <f>IF(E23&lt;&gt;"",1,0)</f>
        <v>0</v>
      </c>
      <c r="AC24" s="24">
        <f>IF(F23&lt;&gt;"",1,0)</f>
        <v>0</v>
      </c>
      <c r="AD24" s="24">
        <f>IF(AI24&lt;0,-1,0)</f>
        <v>-1</v>
      </c>
      <c r="AE24" s="24">
        <f>$AE$6*AA24*AB24*AC24+AD24</f>
        <v>-1</v>
      </c>
      <c r="AF24" s="25">
        <f>$D$6-D23</f>
        <v>175082.54</v>
      </c>
      <c r="AG24" s="25">
        <f>$E$6-E23</f>
        <v>-13888.351000000001</v>
      </c>
      <c r="AH24" s="1">
        <f>AF24*$AF$8-AG24</f>
        <v>1281780.4905109</v>
      </c>
      <c r="AI24" s="1">
        <f>F23^2*($AF$8^2+1)-AH24^2</f>
        <v>-1642961225854.3635</v>
      </c>
      <c r="AJ24" s="27">
        <f>$AF$8*AH24</f>
        <v>9282247.1532409564</v>
      </c>
      <c r="AK24" s="1">
        <f>$AF$8^2+1</f>
        <v>53.441963241734648</v>
      </c>
      <c r="AL24" s="1" t="e">
        <f>IF(OR($AB$8=90,$AB$8=270),$D$6,(AJ24+SQRT(AI24))/AK24+D23)</f>
        <v>#NUM!</v>
      </c>
      <c r="AM24" s="7" t="e">
        <f>IF(OR($AB$8=90,$AB$8=270),$D$6,(AJ24+SQRT(AI24))/AK24*$AF$8-AH24+E23)</f>
        <v>#NUM!</v>
      </c>
      <c r="AN24" s="23" t="e">
        <f>IF(OR($AB$8=90,$AB$8=270),$D$6,(AJ24-SQRT(AI24))/AK24+D23)</f>
        <v>#NUM!</v>
      </c>
      <c r="AO24" s="23" t="e">
        <f>IF(OR($AB$8=90,$AB$8=270),$D$6,(AJ24-SQRT(AI24))/AK24*$AF$8-AH24+E23)</f>
        <v>#NUM!</v>
      </c>
      <c r="AP24" s="23" t="e">
        <f>SQRT(($D$6-AL24)^2+($E$6-AM24)^2)</f>
        <v>#NUM!</v>
      </c>
      <c r="AQ24" s="23" t="e">
        <f>SQRT(($D$6-AN24)^2+($E$6-AO24)^2)</f>
        <v>#NUM!</v>
      </c>
      <c r="AR24" s="16"/>
      <c r="AS24" s="16"/>
    </row>
    <row r="25" spans="1:45" ht="17.25" customHeight="1" x14ac:dyDescent="0.15">
      <c r="A25" s="49" t="str">
        <f>IF(AND(AE25=3,AD26&lt;0),"★","")</f>
        <v/>
      </c>
      <c r="B25" s="130">
        <v>8</v>
      </c>
      <c r="C25" s="136"/>
      <c r="D25" s="131"/>
      <c r="E25" s="131"/>
      <c r="F25" s="132"/>
      <c r="G25" s="133"/>
      <c r="H25" s="42" t="s">
        <v>24</v>
      </c>
      <c r="I25" s="134" t="str">
        <f>IF(AE26=4,AL26,"")</f>
        <v/>
      </c>
      <c r="J25" s="134" t="str">
        <f>IF(AE26=4,AM26,"")</f>
        <v/>
      </c>
      <c r="K25" s="135" t="str">
        <f>IF(AE26=4,AP26,"")</f>
        <v/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/>
      <c r="AB25" s="1"/>
      <c r="AC25" s="1"/>
      <c r="AD25" s="1"/>
      <c r="AE25" s="1">
        <f>SUM(AA26:AC26)</f>
        <v>0</v>
      </c>
      <c r="AF25" s="1"/>
      <c r="AG25" s="1"/>
      <c r="AH25" s="26"/>
      <c r="AI25" s="27"/>
      <c r="AJ25" s="27"/>
      <c r="AK25" s="27"/>
      <c r="AL25" s="27"/>
      <c r="AM25" s="23"/>
      <c r="AN25" s="23"/>
      <c r="AO25" s="23"/>
      <c r="AP25" s="23"/>
      <c r="AR25" s="16"/>
      <c r="AS25" s="16"/>
    </row>
    <row r="26" spans="1:45" ht="17.25" customHeight="1" x14ac:dyDescent="0.15">
      <c r="A26" s="49"/>
      <c r="B26" s="124"/>
      <c r="C26" s="125" t="s">
        <v>14</v>
      </c>
      <c r="D26" s="125" t="s">
        <v>14</v>
      </c>
      <c r="E26" s="125" t="s">
        <v>14</v>
      </c>
      <c r="F26" s="126" t="s">
        <v>10</v>
      </c>
      <c r="G26" s="127"/>
      <c r="H26" s="41" t="s">
        <v>25</v>
      </c>
      <c r="I26" s="128" t="str">
        <f>IF(AE26=4,AN26,"")</f>
        <v/>
      </c>
      <c r="J26" s="128" t="str">
        <f>IF(AE26=4,AO26,"")</f>
        <v/>
      </c>
      <c r="K26" s="129" t="str">
        <f>IF(AE26=4,AQ26,"")</f>
        <v/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24">
        <f>IF(D25&lt;&gt;"",1,0)</f>
        <v>0</v>
      </c>
      <c r="AB26" s="24">
        <f>IF(E25&lt;&gt;"",1,0)</f>
        <v>0</v>
      </c>
      <c r="AC26" s="24">
        <f>IF(F25&lt;&gt;"",1,0)</f>
        <v>0</v>
      </c>
      <c r="AD26" s="24">
        <f>IF(AI26&lt;0,-1,0)</f>
        <v>-1</v>
      </c>
      <c r="AE26" s="24">
        <f>$AE$6*AA26*AB26*AC26+AD26</f>
        <v>-1</v>
      </c>
      <c r="AF26" s="25">
        <f>$D$6-D25</f>
        <v>175082.54</v>
      </c>
      <c r="AG26" s="25">
        <f>$E$6-E25</f>
        <v>-13888.351000000001</v>
      </c>
      <c r="AH26" s="1">
        <f>AF26*$AF$8-AG26</f>
        <v>1281780.4905109</v>
      </c>
      <c r="AI26" s="1">
        <f>F25^2*($AF$8^2+1)-AH26^2</f>
        <v>-1642961225854.3635</v>
      </c>
      <c r="AJ26" s="27">
        <f>$AF$8*AH26</f>
        <v>9282247.1532409564</v>
      </c>
      <c r="AK26" s="1">
        <f>$AF$8^2+1</f>
        <v>53.441963241734648</v>
      </c>
      <c r="AL26" s="1" t="e">
        <f>IF(OR($AB$8=90,$AB$8=270),$D$6,(AJ26+SQRT(AI26))/AK26+D25)</f>
        <v>#NUM!</v>
      </c>
      <c r="AM26" s="7" t="e">
        <f>IF(OR($AB$8=90,$AB$8=270),$D$6,(AJ26+SQRT(AI26))/AK26*$AF$8-AH26+E25)</f>
        <v>#NUM!</v>
      </c>
      <c r="AN26" s="23" t="e">
        <f>IF(OR($AB$8=90,$AB$8=270),$D$6,(AJ26-SQRT(AI26))/AK26+D25)</f>
        <v>#NUM!</v>
      </c>
      <c r="AO26" s="23" t="e">
        <f>IF(OR($AB$8=90,$AB$8=270),$D$6,(AJ26-SQRT(AI26))/AK26*$AF$8-AH26+E25)</f>
        <v>#NUM!</v>
      </c>
      <c r="AP26" s="23" t="e">
        <f>SQRT(($D$6-AL26)^2+($E$6-AM26)^2)</f>
        <v>#NUM!</v>
      </c>
      <c r="AQ26" s="23" t="e">
        <f>SQRT(($D$6-AN26)^2+($E$6-AO26)^2)</f>
        <v>#NUM!</v>
      </c>
      <c r="AR26" s="16"/>
      <c r="AS26" s="16"/>
    </row>
    <row r="27" spans="1:45" ht="17.25" customHeight="1" x14ac:dyDescent="0.15">
      <c r="A27" s="49" t="str">
        <f>IF(AND(AE27=3,AD28&lt;0),"★","")</f>
        <v/>
      </c>
      <c r="B27" s="130">
        <v>9</v>
      </c>
      <c r="C27" s="136"/>
      <c r="D27" s="131"/>
      <c r="E27" s="131"/>
      <c r="F27" s="132"/>
      <c r="G27" s="133"/>
      <c r="H27" s="42" t="s">
        <v>24</v>
      </c>
      <c r="I27" s="134" t="str">
        <f>IF(AE28=4,AL28,"")</f>
        <v/>
      </c>
      <c r="J27" s="134" t="str">
        <f>IF(AE28=4,AM28,"")</f>
        <v/>
      </c>
      <c r="K27" s="135" t="str">
        <f>IF(AE28=4,AP28,"")</f>
        <v/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"/>
      <c r="AB27" s="1"/>
      <c r="AC27" s="1"/>
      <c r="AD27" s="1"/>
      <c r="AE27" s="1">
        <f>SUM(AA28:AC28)</f>
        <v>0</v>
      </c>
      <c r="AF27" s="1"/>
      <c r="AG27" s="1"/>
      <c r="AH27" s="26"/>
      <c r="AI27" s="27"/>
      <c r="AJ27" s="27"/>
      <c r="AK27" s="27"/>
      <c r="AL27" s="27"/>
      <c r="AM27" s="23"/>
      <c r="AN27" s="23"/>
      <c r="AO27" s="23"/>
      <c r="AP27" s="23"/>
      <c r="AR27" s="16"/>
      <c r="AS27" s="16"/>
    </row>
    <row r="28" spans="1:45" ht="17.25" customHeight="1" x14ac:dyDescent="0.15">
      <c r="A28" s="49"/>
      <c r="B28" s="124"/>
      <c r="C28" s="125" t="s">
        <v>14</v>
      </c>
      <c r="D28" s="125" t="s">
        <v>14</v>
      </c>
      <c r="E28" s="125" t="s">
        <v>14</v>
      </c>
      <c r="F28" s="126" t="s">
        <v>10</v>
      </c>
      <c r="G28" s="127"/>
      <c r="H28" s="41" t="s">
        <v>25</v>
      </c>
      <c r="I28" s="128" t="str">
        <f>IF(AE28=4,AN28,"")</f>
        <v/>
      </c>
      <c r="J28" s="128" t="str">
        <f>IF(AE28=4,AO28,"")</f>
        <v/>
      </c>
      <c r="K28" s="129" t="str">
        <f>IF(AE28=4,AQ28,"")</f>
        <v/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24">
        <f>IF(D27&lt;&gt;"",1,0)</f>
        <v>0</v>
      </c>
      <c r="AB28" s="24">
        <f>IF(E27&lt;&gt;"",1,0)</f>
        <v>0</v>
      </c>
      <c r="AC28" s="24">
        <f>IF(F27&lt;&gt;"",1,0)</f>
        <v>0</v>
      </c>
      <c r="AD28" s="24">
        <f>IF(AI28&lt;0,-1,0)</f>
        <v>-1</v>
      </c>
      <c r="AE28" s="24">
        <f>$AE$6*AA28*AB28*AC28+AD28</f>
        <v>-1</v>
      </c>
      <c r="AF28" s="25">
        <f>$D$6-D27</f>
        <v>175082.54</v>
      </c>
      <c r="AG28" s="25">
        <f>$E$6-E27</f>
        <v>-13888.351000000001</v>
      </c>
      <c r="AH28" s="1">
        <f>AF28*$AF$8-AG28</f>
        <v>1281780.4905109</v>
      </c>
      <c r="AI28" s="1">
        <f>F27^2*($AF$8^2+1)-AH28^2</f>
        <v>-1642961225854.3635</v>
      </c>
      <c r="AJ28" s="27">
        <f>$AF$8*AH28</f>
        <v>9282247.1532409564</v>
      </c>
      <c r="AK28" s="1">
        <f>$AF$8^2+1</f>
        <v>53.441963241734648</v>
      </c>
      <c r="AL28" s="1" t="e">
        <f>IF(OR($AB$8=90,$AB$8=270),$D$6,(AJ28+SQRT(AI28))/AK28+D27)</f>
        <v>#NUM!</v>
      </c>
      <c r="AM28" s="7" t="e">
        <f>IF(OR($AB$8=90,$AB$8=270),$D$6,(AJ28+SQRT(AI28))/AK28*$AF$8-AH28+E27)</f>
        <v>#NUM!</v>
      </c>
      <c r="AN28" s="23" t="e">
        <f>IF(OR($AB$8=90,$AB$8=270),$D$6,(AJ28-SQRT(AI28))/AK28+D27)</f>
        <v>#NUM!</v>
      </c>
      <c r="AO28" s="23" t="e">
        <f>IF(OR($AB$8=90,$AB$8=270),$D$6,(AJ28-SQRT(AI28))/AK28*$AF$8-AH28+E27)</f>
        <v>#NUM!</v>
      </c>
      <c r="AP28" s="23" t="e">
        <f>SQRT(($D$6-AL28)^2+($E$6-AM28)^2)</f>
        <v>#NUM!</v>
      </c>
      <c r="AQ28" s="23" t="e">
        <f>SQRT(($D$6-AN28)^2+($E$6-AO28)^2)</f>
        <v>#NUM!</v>
      </c>
      <c r="AR28" s="16"/>
      <c r="AS28" s="16"/>
    </row>
    <row r="29" spans="1:45" ht="17.25" customHeight="1" x14ac:dyDescent="0.15">
      <c r="A29" s="49" t="str">
        <f>IF(AND(AE29=3,AD30&lt;0),"★","")</f>
        <v/>
      </c>
      <c r="B29" s="130">
        <v>10</v>
      </c>
      <c r="C29" s="136"/>
      <c r="D29" s="131"/>
      <c r="E29" s="131"/>
      <c r="F29" s="132"/>
      <c r="G29" s="133"/>
      <c r="H29" s="42" t="s">
        <v>24</v>
      </c>
      <c r="I29" s="134" t="str">
        <f>IF(AE30=4,AL30,"")</f>
        <v/>
      </c>
      <c r="J29" s="134" t="str">
        <f>IF(AE30=4,AM30,"")</f>
        <v/>
      </c>
      <c r="K29" s="135" t="str">
        <f>IF(AE30=4,AP30,"")</f>
        <v/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"/>
      <c r="AB29" s="1"/>
      <c r="AC29" s="1"/>
      <c r="AD29" s="1"/>
      <c r="AE29" s="1">
        <f>SUM(AA30:AC30)</f>
        <v>0</v>
      </c>
      <c r="AF29" s="1"/>
      <c r="AG29" s="1"/>
      <c r="AH29" s="26"/>
      <c r="AI29" s="27"/>
      <c r="AJ29" s="27"/>
      <c r="AK29" s="27"/>
      <c r="AL29" s="27"/>
      <c r="AM29" s="23"/>
      <c r="AN29" s="23"/>
      <c r="AO29" s="23"/>
      <c r="AP29" s="23"/>
      <c r="AR29" s="16"/>
      <c r="AS29" s="16"/>
    </row>
    <row r="30" spans="1:45" ht="17.25" customHeight="1" thickBot="1" x14ac:dyDescent="0.2">
      <c r="A30" s="49"/>
      <c r="B30" s="137"/>
      <c r="C30" s="125" t="s">
        <v>14</v>
      </c>
      <c r="D30" s="125" t="s">
        <v>14</v>
      </c>
      <c r="E30" s="125" t="s">
        <v>14</v>
      </c>
      <c r="F30" s="126" t="s">
        <v>10</v>
      </c>
      <c r="G30" s="127"/>
      <c r="H30" s="41" t="s">
        <v>25</v>
      </c>
      <c r="I30" s="128" t="str">
        <f>IF(AE30=4,AN30,"")</f>
        <v/>
      </c>
      <c r="J30" s="128" t="str">
        <f>IF(AE30=4,AO30,"")</f>
        <v/>
      </c>
      <c r="K30" s="129" t="str">
        <f>IF(AE30=4,AQ30,"")</f>
        <v/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24">
        <f>IF(D29&lt;&gt;"",1,0)</f>
        <v>0</v>
      </c>
      <c r="AB30" s="24">
        <f>IF(E29&lt;&gt;"",1,0)</f>
        <v>0</v>
      </c>
      <c r="AC30" s="24">
        <f>IF(F29&lt;&gt;"",1,0)</f>
        <v>0</v>
      </c>
      <c r="AD30" s="24">
        <f>IF(AI30&lt;0,-1,0)</f>
        <v>-1</v>
      </c>
      <c r="AE30" s="24">
        <f>$AE$6*AA30*AB30*AC30+AD30</f>
        <v>-1</v>
      </c>
      <c r="AF30" s="25">
        <f>$D$6-D29</f>
        <v>175082.54</v>
      </c>
      <c r="AG30" s="25">
        <f>$E$6-E29</f>
        <v>-13888.351000000001</v>
      </c>
      <c r="AH30" s="1">
        <f>AF30*$AF$8-AG30</f>
        <v>1281780.4905109</v>
      </c>
      <c r="AI30" s="1">
        <f>F29^2*($AF$8^2+1)-AH30^2</f>
        <v>-1642961225854.3635</v>
      </c>
      <c r="AJ30" s="27">
        <f>$AF$8*AH30</f>
        <v>9282247.1532409564</v>
      </c>
      <c r="AK30" s="1">
        <f>$AF$8^2+1</f>
        <v>53.441963241734648</v>
      </c>
      <c r="AL30" s="1" t="e">
        <f>IF(OR($AB$8=90,$AB$8=270),$D$6,(AJ30+SQRT(AI30))/AK30+D29)</f>
        <v>#NUM!</v>
      </c>
      <c r="AM30" s="7" t="e">
        <f>IF(OR($AB$8=90,$AB$8=270),$D$6,(AJ30+SQRT(AI30))/AK30*$AF$8-AH30+E29)</f>
        <v>#NUM!</v>
      </c>
      <c r="AN30" s="23" t="e">
        <f>IF(OR($AB$8=90,$AB$8=270),$D$6,(AJ30-SQRT(AI30))/AK30+D29)</f>
        <v>#NUM!</v>
      </c>
      <c r="AO30" s="23" t="e">
        <f>IF(OR($AB$8=90,$AB$8=270),$D$6,(AJ30-SQRT(AI30))/AK30*$AF$8-AH30+E29)</f>
        <v>#NUM!</v>
      </c>
      <c r="AP30" s="23" t="e">
        <f>SQRT(($D$6-AL30)^2+($E$6-AM30)^2)</f>
        <v>#NUM!</v>
      </c>
      <c r="AQ30" s="23" t="e">
        <f>SQRT(($D$6-AN30)^2+($E$6-AO30)^2)</f>
        <v>#NUM!</v>
      </c>
      <c r="AR30" s="16"/>
      <c r="AS30" s="16"/>
    </row>
    <row r="31" spans="1:45" ht="17.25" customHeight="1" x14ac:dyDescent="0.15">
      <c r="B31" s="32"/>
      <c r="C31" s="33"/>
      <c r="D31" s="33"/>
      <c r="E31" s="33"/>
      <c r="F31" s="50"/>
      <c r="G31" s="50"/>
      <c r="H31" s="50"/>
      <c r="I31" s="33"/>
      <c r="J31" s="33"/>
      <c r="K31" s="3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F31" s="23"/>
      <c r="AG31" s="23"/>
      <c r="AH31" s="23"/>
      <c r="AI31" s="23"/>
      <c r="AJ31" s="23"/>
      <c r="AK31" s="23"/>
      <c r="AL31" s="23"/>
      <c r="AM31" s="23"/>
      <c r="AN31" s="23"/>
      <c r="AR31" s="16"/>
      <c r="AS31" s="16"/>
    </row>
    <row r="32" spans="1:45" ht="17.25" customHeight="1" x14ac:dyDescent="0.15">
      <c r="B32" s="35"/>
      <c r="C32" s="31"/>
      <c r="D32" s="31"/>
      <c r="E32" s="31"/>
      <c r="F32" s="51"/>
      <c r="G32" s="51"/>
      <c r="H32" s="51"/>
      <c r="I32" s="31"/>
      <c r="J32" s="31" t="s">
        <v>41</v>
      </c>
      <c r="K32" s="3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F32" s="23"/>
      <c r="AG32" s="23"/>
      <c r="AH32" s="23"/>
      <c r="AI32" s="23"/>
      <c r="AJ32" s="23"/>
      <c r="AK32" s="23"/>
      <c r="AL32" s="23"/>
      <c r="AM32" s="23"/>
      <c r="AN32" s="23"/>
      <c r="AR32" s="16"/>
      <c r="AS32" s="16"/>
    </row>
    <row r="33" spans="2:45" ht="17.25" customHeight="1" x14ac:dyDescent="0.15">
      <c r="B33" s="35"/>
      <c r="C33" s="31"/>
      <c r="D33" s="31"/>
      <c r="E33" s="31"/>
      <c r="F33" s="52"/>
      <c r="G33" s="52"/>
      <c r="H33" s="52"/>
      <c r="I33" s="31"/>
      <c r="J33" s="31"/>
      <c r="K33" s="3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F33" s="23"/>
      <c r="AG33" s="23"/>
      <c r="AH33" s="23"/>
      <c r="AI33" s="23"/>
      <c r="AJ33" s="23"/>
      <c r="AK33" s="23"/>
      <c r="AL33" s="23"/>
      <c r="AM33" s="23"/>
      <c r="AN33" s="23"/>
      <c r="AR33" s="16"/>
      <c r="AS33" s="16"/>
    </row>
    <row r="34" spans="2:45" ht="17.25" customHeight="1" x14ac:dyDescent="0.15">
      <c r="B34" s="35"/>
      <c r="C34" s="31"/>
      <c r="D34" s="31"/>
      <c r="E34" s="31"/>
      <c r="F34" s="51"/>
      <c r="G34" s="51"/>
      <c r="H34" s="51"/>
      <c r="I34" s="31" t="s">
        <v>39</v>
      </c>
      <c r="J34" s="31"/>
      <c r="K34" s="3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F34" s="23"/>
      <c r="AG34" s="23"/>
      <c r="AH34" s="23"/>
      <c r="AI34" s="23"/>
      <c r="AJ34" s="23"/>
      <c r="AK34" s="23"/>
      <c r="AL34" s="23"/>
      <c r="AM34" s="23"/>
      <c r="AN34" s="23"/>
      <c r="AR34" s="16"/>
      <c r="AS34" s="16"/>
    </row>
    <row r="35" spans="2:45" ht="17.25" customHeight="1" x14ac:dyDescent="0.15">
      <c r="B35" s="35"/>
      <c r="C35" s="31"/>
      <c r="D35" s="31"/>
      <c r="E35" s="31"/>
      <c r="F35" s="51"/>
      <c r="G35" s="51"/>
      <c r="H35" s="51"/>
      <c r="I35" s="31"/>
      <c r="J35" s="31"/>
      <c r="K35" s="3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F35" s="23"/>
      <c r="AG35" s="23"/>
      <c r="AH35" s="23"/>
      <c r="AI35" s="23"/>
      <c r="AJ35" s="23"/>
      <c r="AK35" s="23"/>
      <c r="AL35" s="23"/>
      <c r="AM35" s="23"/>
      <c r="AN35" s="23"/>
      <c r="AR35" s="16"/>
      <c r="AS35" s="16"/>
    </row>
    <row r="36" spans="2:45" ht="17.25" customHeight="1" x14ac:dyDescent="0.15">
      <c r="B36" s="35"/>
      <c r="C36" s="31"/>
      <c r="D36" s="31"/>
      <c r="E36" s="31"/>
      <c r="F36" s="51"/>
      <c r="G36" s="51"/>
      <c r="H36" s="51"/>
      <c r="I36" s="31"/>
      <c r="J36" s="31"/>
      <c r="K36" s="3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F36" s="23"/>
      <c r="AG36" s="23"/>
      <c r="AH36" s="23"/>
      <c r="AI36" s="23"/>
      <c r="AJ36" s="23"/>
      <c r="AK36" s="23"/>
      <c r="AL36" s="23"/>
      <c r="AM36" s="23"/>
      <c r="AN36" s="23"/>
      <c r="AR36" s="16"/>
      <c r="AS36" s="16"/>
    </row>
    <row r="37" spans="2:45" ht="17.25" customHeight="1" x14ac:dyDescent="0.15">
      <c r="B37" s="35"/>
      <c r="C37" s="31"/>
      <c r="D37" s="31"/>
      <c r="E37" s="31" t="s">
        <v>40</v>
      </c>
      <c r="F37" s="51"/>
      <c r="G37" s="51"/>
      <c r="H37" s="51"/>
      <c r="I37" s="31"/>
      <c r="J37" s="31"/>
      <c r="K37" s="3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F37" s="23"/>
      <c r="AG37" s="23"/>
      <c r="AH37" s="23"/>
      <c r="AI37" s="23"/>
      <c r="AJ37" s="23"/>
      <c r="AK37" s="23"/>
      <c r="AL37" s="23"/>
      <c r="AM37" s="23"/>
      <c r="AN37" s="23"/>
      <c r="AR37" s="16"/>
      <c r="AS37" s="16"/>
    </row>
    <row r="38" spans="2:45" ht="17.25" customHeight="1" x14ac:dyDescent="0.15">
      <c r="B38" s="35"/>
      <c r="C38" s="31"/>
      <c r="D38" s="31"/>
      <c r="E38" s="31"/>
      <c r="F38" s="53" t="s">
        <v>44</v>
      </c>
      <c r="G38" s="53"/>
      <c r="H38" s="53"/>
      <c r="I38" s="54"/>
      <c r="J38" s="31"/>
      <c r="K38" s="3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F38" s="23"/>
      <c r="AG38" s="23"/>
      <c r="AH38" s="23"/>
      <c r="AI38" s="23"/>
      <c r="AJ38" s="23"/>
      <c r="AK38" s="23"/>
      <c r="AL38" s="23"/>
      <c r="AM38" s="23"/>
      <c r="AN38" s="23"/>
      <c r="AR38" s="16"/>
      <c r="AS38" s="16"/>
    </row>
    <row r="39" spans="2:45" ht="17.25" customHeight="1" x14ac:dyDescent="0.15">
      <c r="B39" s="35"/>
      <c r="C39" s="31"/>
      <c r="D39" s="31"/>
      <c r="E39" s="31"/>
      <c r="F39" s="51" t="s">
        <v>43</v>
      </c>
      <c r="G39" s="51"/>
      <c r="H39" s="51"/>
      <c r="I39" s="31"/>
      <c r="J39" s="31"/>
      <c r="K39" s="3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F39" s="23"/>
      <c r="AG39" s="23"/>
      <c r="AH39" s="23"/>
      <c r="AI39" s="23"/>
      <c r="AJ39" s="23"/>
      <c r="AK39" s="23"/>
      <c r="AL39" s="23"/>
      <c r="AM39" s="23"/>
      <c r="AN39" s="23"/>
      <c r="AR39" s="16"/>
      <c r="AS39" s="16"/>
    </row>
    <row r="40" spans="2:45" ht="17.25" customHeight="1" x14ac:dyDescent="0.15">
      <c r="B40" s="35"/>
      <c r="C40" s="31"/>
      <c r="D40" s="31" t="s">
        <v>42</v>
      </c>
      <c r="E40" s="31"/>
      <c r="F40" s="51"/>
      <c r="G40" s="51"/>
      <c r="H40" s="51"/>
      <c r="I40" s="31"/>
      <c r="J40" s="31"/>
      <c r="K40" s="3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F40" s="23"/>
      <c r="AG40" s="23"/>
      <c r="AH40" s="23"/>
      <c r="AI40" s="23"/>
      <c r="AJ40" s="23"/>
      <c r="AK40" s="23"/>
      <c r="AL40" s="23"/>
      <c r="AM40" s="23"/>
      <c r="AN40" s="23"/>
      <c r="AR40" s="16"/>
      <c r="AS40" s="16"/>
    </row>
    <row r="41" spans="2:45" ht="17.25" customHeight="1" x14ac:dyDescent="0.15">
      <c r="B41" s="35"/>
      <c r="C41" s="31"/>
      <c r="D41" s="31"/>
      <c r="E41" s="31"/>
      <c r="F41" s="51"/>
      <c r="G41" s="51"/>
      <c r="H41" s="51"/>
      <c r="I41" s="31"/>
      <c r="J41" s="31"/>
      <c r="K41" s="3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F41" s="23"/>
      <c r="AG41" s="23"/>
      <c r="AH41" s="23"/>
      <c r="AI41" s="23"/>
      <c r="AJ41" s="23"/>
      <c r="AK41" s="23"/>
      <c r="AL41" s="23"/>
      <c r="AM41" s="23"/>
      <c r="AN41" s="23"/>
      <c r="AR41" s="16"/>
      <c r="AS41" s="16"/>
    </row>
    <row r="42" spans="2:45" ht="17.25" customHeight="1" x14ac:dyDescent="0.15">
      <c r="B42" s="35"/>
      <c r="C42" s="31"/>
      <c r="D42" s="31"/>
      <c r="E42" s="31"/>
      <c r="F42" s="51"/>
      <c r="G42" s="51"/>
      <c r="H42" s="51"/>
      <c r="I42" s="31"/>
      <c r="J42" s="31"/>
      <c r="K42" s="3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F42" s="23"/>
      <c r="AG42" s="23"/>
      <c r="AH42" s="23"/>
      <c r="AI42" s="23"/>
      <c r="AJ42" s="23"/>
      <c r="AK42" s="23"/>
      <c r="AL42" s="23"/>
      <c r="AM42" s="23"/>
      <c r="AN42" s="23"/>
      <c r="AR42" s="16"/>
      <c r="AS42" s="16"/>
    </row>
    <row r="43" spans="2:45" ht="17.25" customHeight="1" x14ac:dyDescent="0.15">
      <c r="B43" s="35"/>
      <c r="C43" s="31"/>
      <c r="D43" s="31"/>
      <c r="E43" s="31"/>
      <c r="F43" s="51"/>
      <c r="G43" s="51"/>
      <c r="H43" s="51"/>
      <c r="I43" s="31"/>
      <c r="J43" s="31"/>
      <c r="K43" s="3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F43" s="23"/>
      <c r="AG43" s="23"/>
      <c r="AH43" s="23"/>
      <c r="AI43" s="23"/>
      <c r="AJ43" s="23"/>
      <c r="AK43" s="23"/>
      <c r="AL43" s="23"/>
      <c r="AM43" s="23"/>
      <c r="AN43" s="23"/>
      <c r="AR43" s="16"/>
      <c r="AS43" s="16"/>
    </row>
    <row r="44" spans="2:45" ht="17.25" customHeight="1" x14ac:dyDescent="0.15">
      <c r="B44" s="35"/>
      <c r="C44" s="31"/>
      <c r="D44" s="31"/>
      <c r="E44" s="31"/>
      <c r="F44" s="51"/>
      <c r="G44" s="51"/>
      <c r="H44" s="51"/>
      <c r="I44" s="31"/>
      <c r="J44" s="31"/>
      <c r="K44" s="3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F44" s="23"/>
      <c r="AG44" s="23"/>
      <c r="AH44" s="23"/>
      <c r="AI44" s="23"/>
      <c r="AJ44" s="23"/>
      <c r="AK44" s="23"/>
      <c r="AL44" s="23"/>
      <c r="AM44" s="23"/>
      <c r="AN44" s="23"/>
      <c r="AR44" s="16"/>
      <c r="AS44" s="16"/>
    </row>
    <row r="45" spans="2:45" ht="17.25" customHeight="1" thickBot="1" x14ac:dyDescent="0.2">
      <c r="B45" s="28"/>
      <c r="C45" s="29"/>
      <c r="D45" s="29"/>
      <c r="E45" s="29"/>
      <c r="F45" s="55"/>
      <c r="G45" s="55"/>
      <c r="H45" s="55"/>
      <c r="I45" s="29"/>
      <c r="J45" s="29"/>
      <c r="K45" s="3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F45" s="23"/>
      <c r="AG45" s="23"/>
      <c r="AH45" s="23"/>
      <c r="AI45" s="23"/>
      <c r="AJ45" s="23"/>
      <c r="AK45" s="23"/>
      <c r="AL45" s="23"/>
      <c r="AM45" s="23"/>
      <c r="AN45" s="23"/>
      <c r="AR45" s="16"/>
      <c r="AS45" s="16"/>
    </row>
    <row r="46" spans="2:45" ht="30.75" customHeight="1" thickTop="1" x14ac:dyDescent="0.15">
      <c r="D46" s="18"/>
      <c r="E46" s="16"/>
      <c r="F46" s="18"/>
      <c r="G46" s="19"/>
      <c r="H46" s="20"/>
      <c r="I46" s="16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45" x14ac:dyDescent="0.15">
      <c r="C47" s="44"/>
      <c r="D47" s="45"/>
    </row>
  </sheetData>
  <sheetProtection algorithmName="SHA-512" hashValue="L8tVmFOE+hvJLaQZnO4VSFTHB2Jx3KPsLK2QZqcojRb9NlYI1j3yEXF2riQvPWIylerthqdJxwDleTQBp8jVQw==" saltValue="FEAEFJ+DMTUuc6U7F8jCfg==" spinCount="100000" sheet="1" objects="1" scenarios="1"/>
  <mergeCells count="68">
    <mergeCell ref="F45:H45"/>
    <mergeCell ref="F41:H41"/>
    <mergeCell ref="F42:H42"/>
    <mergeCell ref="F43:H43"/>
    <mergeCell ref="F44:H44"/>
    <mergeCell ref="F39:H39"/>
    <mergeCell ref="F40:H40"/>
    <mergeCell ref="F33:H33"/>
    <mergeCell ref="F34:H34"/>
    <mergeCell ref="F35:H35"/>
    <mergeCell ref="F36:H36"/>
    <mergeCell ref="F38:I38"/>
    <mergeCell ref="F37:H37"/>
    <mergeCell ref="A29:A30"/>
    <mergeCell ref="B29:B30"/>
    <mergeCell ref="F31:H31"/>
    <mergeCell ref="F32:H32"/>
    <mergeCell ref="F29:G29"/>
    <mergeCell ref="F30:G30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K9:K10"/>
    <mergeCell ref="A13:A14"/>
    <mergeCell ref="B13:B14"/>
    <mergeCell ref="A15:A16"/>
    <mergeCell ref="B15:B16"/>
    <mergeCell ref="A11:A12"/>
    <mergeCell ref="B11:B12"/>
    <mergeCell ref="F11:G11"/>
    <mergeCell ref="F12:G12"/>
    <mergeCell ref="F9:G10"/>
    <mergeCell ref="D8:E8"/>
    <mergeCell ref="B9:C10"/>
    <mergeCell ref="D9:E9"/>
    <mergeCell ref="D2:J2"/>
    <mergeCell ref="B3:C3"/>
    <mergeCell ref="D3:K3"/>
    <mergeCell ref="B4:C5"/>
    <mergeCell ref="D4:E4"/>
    <mergeCell ref="F4:H4"/>
    <mergeCell ref="I4:I5"/>
    <mergeCell ref="F26:G26"/>
    <mergeCell ref="F27:G27"/>
    <mergeCell ref="F28:G28"/>
    <mergeCell ref="F21:G21"/>
    <mergeCell ref="F22:G22"/>
    <mergeCell ref="F23:G23"/>
    <mergeCell ref="F24:G24"/>
    <mergeCell ref="H9:J9"/>
    <mergeCell ref="F15:G15"/>
    <mergeCell ref="F16:G16"/>
    <mergeCell ref="F13:G13"/>
    <mergeCell ref="F14:G14"/>
    <mergeCell ref="F25:G25"/>
    <mergeCell ref="F17:G17"/>
    <mergeCell ref="F18:G18"/>
    <mergeCell ref="F19:G19"/>
    <mergeCell ref="F20:G20"/>
  </mergeCells>
  <phoneticPr fontId="1"/>
  <pageMargins left="0.31496062992125984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交点(直-円)</vt:lpstr>
      <vt:lpstr>'交点(直-円)'!Print_Area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2021-01-26T13:13:02Z</cp:lastPrinted>
  <dcterms:created xsi:type="dcterms:W3CDTF">1997-01-08T22:48:59Z</dcterms:created>
  <dcterms:modified xsi:type="dcterms:W3CDTF">2021-01-26T13:14:21Z</dcterms:modified>
</cp:coreProperties>
</file>