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inetpub\wwwroot\Asakaze.net\excel\"/>
    </mc:Choice>
  </mc:AlternateContent>
  <xr:revisionPtr revIDLastSave="0" documentId="8_{616E71A6-CDDF-4CB5-A486-D7418F0F4D73}" xr6:coauthVersionLast="46" xr6:coauthVersionMax="46" xr10:uidLastSave="{00000000-0000-0000-0000-000000000000}"/>
  <workbookProtection workbookPassword="E166" lockStructure="1"/>
  <bookViews>
    <workbookView showSheetTabs="0" xWindow="465" yWindow="420" windowWidth="28335" windowHeight="16440"/>
  </bookViews>
  <sheets>
    <sheet name="交点(直-直)" sheetId="7" r:id="rId1"/>
  </sheets>
  <definedNames>
    <definedName name="_xlnm.Print_Area" localSheetId="0">'交点(直-直)'!$B$2:$K$45</definedName>
  </definedNames>
  <calcPr calcId="181029"/>
  <customWorkbookViews>
    <customWorkbookView name="あさかぜ０１" guid="{016F17F8-03BD-45D1-A236-5744126E1E4E}" maximized="1" windowWidth="1020" windowHeight="607" activeSheetId="1"/>
  </customWorkbookViews>
</workbook>
</file>

<file path=xl/calcChain.xml><?xml version="1.0" encoding="utf-8"?>
<calcChain xmlns="http://schemas.openxmlformats.org/spreadsheetml/2006/main">
  <c r="AA6" i="7" l="1"/>
  <c r="AB6" i="7"/>
  <c r="AC6" i="7"/>
  <c r="AE5" i="7" s="1"/>
  <c r="AF5" i="7" s="1"/>
  <c r="AD6" i="7"/>
  <c r="AF6" i="7"/>
  <c r="AG6" i="7"/>
  <c r="AA7" i="7"/>
  <c r="AB7" i="7"/>
  <c r="AE11" i="7"/>
  <c r="AH12" i="7" s="1"/>
  <c r="AI12" i="7" s="1"/>
  <c r="AF11" i="7"/>
  <c r="AA12" i="7"/>
  <c r="AB12" i="7"/>
  <c r="AC12" i="7"/>
  <c r="AD12" i="7"/>
  <c r="AF12" i="7"/>
  <c r="AG12" i="7"/>
  <c r="AE13" i="7"/>
  <c r="AA14" i="7"/>
  <c r="AB14" i="7"/>
  <c r="AC14" i="7"/>
  <c r="AD14" i="7"/>
  <c r="AF14" i="7"/>
  <c r="AG14" i="7"/>
  <c r="AA16" i="7"/>
  <c r="AE15" i="7" s="1"/>
  <c r="AB16" i="7"/>
  <c r="AC16" i="7"/>
  <c r="AD16" i="7"/>
  <c r="AF16" i="7"/>
  <c r="AG16" i="7"/>
  <c r="AA18" i="7"/>
  <c r="AE17" i="7" s="1"/>
  <c r="AB18" i="7"/>
  <c r="AC18" i="7"/>
  <c r="AD18" i="7"/>
  <c r="AF18" i="7"/>
  <c r="AG18" i="7"/>
  <c r="AA20" i="7"/>
  <c r="AE19" i="7" s="1"/>
  <c r="AB20" i="7"/>
  <c r="AC20" i="7"/>
  <c r="AD20" i="7"/>
  <c r="AF20" i="7"/>
  <c r="AG20" i="7"/>
  <c r="AA22" i="7"/>
  <c r="AE21" i="7" s="1"/>
  <c r="AB22" i="7"/>
  <c r="AC22" i="7"/>
  <c r="AD22" i="7"/>
  <c r="AF22" i="7"/>
  <c r="AG22" i="7"/>
  <c r="AA24" i="7"/>
  <c r="AB24" i="7"/>
  <c r="AE23" i="7" s="1"/>
  <c r="AC24" i="7"/>
  <c r="AD24" i="7"/>
  <c r="AF24" i="7"/>
  <c r="AG24" i="7"/>
  <c r="AE25" i="7"/>
  <c r="AF25" i="7" s="1"/>
  <c r="AA26" i="7"/>
  <c r="AB26" i="7"/>
  <c r="AC26" i="7"/>
  <c r="AD26" i="7"/>
  <c r="AF26" i="7"/>
  <c r="AG26" i="7"/>
  <c r="AA28" i="7"/>
  <c r="AB28" i="7"/>
  <c r="AE27" i="7" s="1"/>
  <c r="AC28" i="7"/>
  <c r="AD28" i="7"/>
  <c r="AF28" i="7"/>
  <c r="AG28" i="7"/>
  <c r="AA30" i="7"/>
  <c r="AE29" i="7" s="1"/>
  <c r="AB30" i="7"/>
  <c r="AC30" i="7"/>
  <c r="AD30" i="7"/>
  <c r="AF30" i="7"/>
  <c r="AG30" i="7"/>
  <c r="AF19" i="7" l="1"/>
  <c r="AH20" i="7" s="1"/>
  <c r="AI20" i="7" s="1"/>
  <c r="AF15" i="7"/>
  <c r="AH16" i="7" s="1"/>
  <c r="AI16" i="7" s="1"/>
  <c r="AJ12" i="7"/>
  <c r="AM12" i="7"/>
  <c r="D8" i="7"/>
  <c r="AE6" i="7"/>
  <c r="AF29" i="7"/>
  <c r="AH30" i="7" s="1"/>
  <c r="AI30" i="7" s="1"/>
  <c r="AF27" i="7"/>
  <c r="AH28" i="7" s="1"/>
  <c r="AI28" i="7" s="1"/>
  <c r="AF21" i="7"/>
  <c r="AH22" i="7" s="1"/>
  <c r="AI22" i="7" s="1"/>
  <c r="AF17" i="7"/>
  <c r="AH18" i="7"/>
  <c r="AI18" i="7" s="1"/>
  <c r="AF23" i="7"/>
  <c r="AH24" i="7"/>
  <c r="AI24" i="7" s="1"/>
  <c r="AF13" i="7"/>
  <c r="AH14" i="7" s="1"/>
  <c r="AI14" i="7" s="1"/>
  <c r="AH26" i="7"/>
  <c r="AI26" i="7" s="1"/>
  <c r="AM30" i="7" l="1"/>
  <c r="AJ30" i="7"/>
  <c r="AJ14" i="7"/>
  <c r="AM14" i="7"/>
  <c r="AJ22" i="7"/>
  <c r="AM22" i="7"/>
  <c r="AM28" i="7"/>
  <c r="AJ28" i="7"/>
  <c r="AJ16" i="7"/>
  <c r="AM16" i="7"/>
  <c r="AJ20" i="7"/>
  <c r="AM20" i="7"/>
  <c r="AJ18" i="7"/>
  <c r="AM18" i="7"/>
  <c r="AA8" i="7"/>
  <c r="AB8" i="7" s="1"/>
  <c r="I7" i="7"/>
  <c r="AJ26" i="7"/>
  <c r="AM26" i="7"/>
  <c r="AJ24" i="7"/>
  <c r="AM24" i="7"/>
  <c r="AN24" i="7" l="1"/>
  <c r="AN28" i="7"/>
  <c r="AO24" i="7"/>
  <c r="AO26" i="7"/>
  <c r="AO28" i="7"/>
  <c r="AO30" i="7"/>
  <c r="AP16" i="7"/>
  <c r="AO18" i="7"/>
  <c r="AP18" i="7" s="1"/>
  <c r="AF8" i="7"/>
  <c r="AN12" i="7" s="1"/>
  <c r="AO16" i="7"/>
  <c r="AB9" i="7"/>
  <c r="AO20" i="7"/>
  <c r="AP20" i="7"/>
  <c r="AO22" i="7"/>
  <c r="F7" i="7"/>
  <c r="G7" i="7" s="1"/>
  <c r="H7" i="7" s="1"/>
  <c r="AN16" i="7"/>
  <c r="AN30" i="7" l="1"/>
  <c r="AO12" i="7"/>
  <c r="AP26" i="7"/>
  <c r="AN18" i="7"/>
  <c r="AK12" i="7"/>
  <c r="AL12" i="7" s="1"/>
  <c r="AE12" i="7" s="1"/>
  <c r="AK14" i="7"/>
  <c r="AL14" i="7" s="1"/>
  <c r="AE14" i="7" s="1"/>
  <c r="AK16" i="7"/>
  <c r="AL16" i="7" s="1"/>
  <c r="AE16" i="7" s="1"/>
  <c r="AK18" i="7"/>
  <c r="AL18" i="7" s="1"/>
  <c r="AE18" i="7" s="1"/>
  <c r="AK22" i="7"/>
  <c r="AL22" i="7" s="1"/>
  <c r="AE22" i="7" s="1"/>
  <c r="AK24" i="7"/>
  <c r="AL24" i="7" s="1"/>
  <c r="AE24" i="7" s="1"/>
  <c r="AK26" i="7"/>
  <c r="AL26" i="7" s="1"/>
  <c r="AE26" i="7" s="1"/>
  <c r="AK20" i="7"/>
  <c r="AL20" i="7" s="1"/>
  <c r="AE20" i="7" s="1"/>
  <c r="AK28" i="7"/>
  <c r="AL28" i="7" s="1"/>
  <c r="AE28" i="7" s="1"/>
  <c r="AK30" i="7"/>
  <c r="AL30" i="7" s="1"/>
  <c r="AE30" i="7" s="1"/>
  <c r="AP28" i="7"/>
  <c r="AN20" i="7"/>
  <c r="AP24" i="7"/>
  <c r="AP22" i="7"/>
  <c r="AN14" i="7"/>
  <c r="AO14" i="7" s="1"/>
  <c r="AP14" i="7" s="1"/>
  <c r="AP12" i="7"/>
  <c r="AN26" i="7"/>
  <c r="AP30" i="7"/>
  <c r="AN22" i="7"/>
  <c r="F22" i="7" l="1"/>
  <c r="G22" i="7"/>
  <c r="J22" i="7"/>
  <c r="H22" i="7"/>
  <c r="K22" i="7"/>
  <c r="I22" i="7"/>
  <c r="A21" i="7"/>
  <c r="F18" i="7"/>
  <c r="G18" i="7"/>
  <c r="H18" i="7"/>
  <c r="I18" i="7"/>
  <c r="J18" i="7"/>
  <c r="K18" i="7"/>
  <c r="A17" i="7"/>
  <c r="J26" i="7"/>
  <c r="H26" i="7"/>
  <c r="F26" i="7"/>
  <c r="G26" i="7"/>
  <c r="I26" i="7"/>
  <c r="K26" i="7"/>
  <c r="A25" i="7"/>
  <c r="F16" i="7"/>
  <c r="G16" i="7"/>
  <c r="H16" i="7"/>
  <c r="J16" i="7"/>
  <c r="K16" i="7"/>
  <c r="I16" i="7"/>
  <c r="A15" i="7"/>
  <c r="F20" i="7"/>
  <c r="G20" i="7"/>
  <c r="H20" i="7"/>
  <c r="I20" i="7"/>
  <c r="J20" i="7"/>
  <c r="K20" i="7"/>
  <c r="A19" i="7"/>
  <c r="G14" i="7"/>
  <c r="H14" i="7"/>
  <c r="I14" i="7"/>
  <c r="J14" i="7"/>
  <c r="K14" i="7"/>
  <c r="F14" i="7"/>
  <c r="A13" i="7"/>
  <c r="I12" i="7"/>
  <c r="J12" i="7"/>
  <c r="K12" i="7"/>
  <c r="F12" i="7"/>
  <c r="H12" i="7" s="1"/>
  <c r="G12" i="7"/>
  <c r="A11" i="7"/>
  <c r="J24" i="7"/>
  <c r="K24" i="7"/>
  <c r="F24" i="7"/>
  <c r="G24" i="7"/>
  <c r="I24" i="7"/>
  <c r="H24" i="7"/>
  <c r="A23" i="7"/>
  <c r="K30" i="7"/>
  <c r="H30" i="7"/>
  <c r="F30" i="7"/>
  <c r="G30" i="7"/>
  <c r="I30" i="7"/>
  <c r="J30" i="7"/>
  <c r="A29" i="7"/>
  <c r="I28" i="7"/>
  <c r="G28" i="7"/>
  <c r="H28" i="7"/>
  <c r="F28" i="7"/>
  <c r="J28" i="7"/>
  <c r="K28" i="7"/>
  <c r="A27" i="7"/>
</calcChain>
</file>

<file path=xl/comments1.xml><?xml version="1.0" encoding="utf-8"?>
<comments xmlns="http://schemas.openxmlformats.org/spreadsheetml/2006/main">
  <authors>
    <author>asakaze</author>
  </authors>
  <commentList>
    <comment ref="E6" authorId="0" shapeId="0">
      <text>
        <r>
          <rPr>
            <sz val="10"/>
            <color indexed="81"/>
            <rFont val="ＭＳ Ｐゴシック"/>
            <family val="3"/>
            <charset val="128"/>
          </rPr>
          <t>器械点の座標を入力します。</t>
        </r>
      </text>
    </comment>
    <comment ref="E7" authorId="0" shapeId="0">
      <text>
        <r>
          <rPr>
            <sz val="10"/>
            <color indexed="81"/>
            <rFont val="ＭＳ Ｐゴシック"/>
            <family val="3"/>
            <charset val="128"/>
          </rPr>
          <t>基線上の点の座標を入力します。</t>
        </r>
      </text>
    </comment>
    <comment ref="A11" authorId="0" shapeId="0">
      <text>
        <r>
          <rPr>
            <sz val="10"/>
            <color indexed="81"/>
            <rFont val="ＭＳ Ｐゴシック"/>
            <family val="3"/>
            <charset val="128"/>
          </rPr>
          <t>入力したデータが不適切だった場合に「</t>
        </r>
        <r>
          <rPr>
            <sz val="10"/>
            <color indexed="10"/>
            <rFont val="ＭＳ Ｐゴシック"/>
            <family val="3"/>
            <charset val="128"/>
          </rPr>
          <t>★</t>
        </r>
        <r>
          <rPr>
            <sz val="10"/>
            <color indexed="81"/>
            <rFont val="ＭＳ Ｐゴシック"/>
            <family val="3"/>
            <charset val="128"/>
          </rPr>
          <t>」を表示します。</t>
        </r>
      </text>
    </comment>
    <comment ref="E12" authorId="0" shapeId="0">
      <text>
        <r>
          <rPr>
            <sz val="10"/>
            <color indexed="81"/>
            <rFont val="ＭＳ Ｐゴシック"/>
            <family val="3"/>
            <charset val="128"/>
          </rPr>
          <t>交差する直線の座標を入力します。</t>
        </r>
      </text>
    </comment>
  </commentList>
</comments>
</file>

<file path=xl/sharedStrings.xml><?xml version="1.0" encoding="utf-8"?>
<sst xmlns="http://schemas.openxmlformats.org/spreadsheetml/2006/main" count="129" uniqueCount="44">
  <si>
    <t>測点名</t>
    <rPh sb="0" eb="2">
      <t>ソクテン</t>
    </rPh>
    <rPh sb="2" eb="3">
      <t>メイ</t>
    </rPh>
    <phoneticPr fontId="1"/>
  </si>
  <si>
    <t>方向角</t>
    <rPh sb="0" eb="2">
      <t>ホウコウ</t>
    </rPh>
    <rPh sb="2" eb="3">
      <t>カク</t>
    </rPh>
    <phoneticPr fontId="1"/>
  </si>
  <si>
    <t>--</t>
    <phoneticPr fontId="1"/>
  </si>
  <si>
    <t>器械点</t>
    <rPh sb="0" eb="2">
      <t>キカイ</t>
    </rPh>
    <rPh sb="2" eb="3">
      <t>テン</t>
    </rPh>
    <phoneticPr fontId="1"/>
  </si>
  <si>
    <t>距　離</t>
    <rPh sb="0" eb="1">
      <t>ヘダ</t>
    </rPh>
    <rPh sb="2" eb="3">
      <t>リ</t>
    </rPh>
    <phoneticPr fontId="1"/>
  </si>
  <si>
    <t>件　名</t>
    <rPh sb="0" eb="1">
      <t>ケン</t>
    </rPh>
    <rPh sb="2" eb="3">
      <t>メイ</t>
    </rPh>
    <phoneticPr fontId="1"/>
  </si>
  <si>
    <t>視準点</t>
    <rPh sb="0" eb="1">
      <t>シ</t>
    </rPh>
    <rPh sb="1" eb="2">
      <t>ジュン</t>
    </rPh>
    <rPh sb="2" eb="3">
      <t>テン</t>
    </rPh>
    <phoneticPr fontId="1"/>
  </si>
  <si>
    <t>°</t>
    <phoneticPr fontId="1"/>
  </si>
  <si>
    <t>’</t>
    <phoneticPr fontId="1"/>
  </si>
  <si>
    <t>”</t>
    <phoneticPr fontId="1"/>
  </si>
  <si>
    <t>ｍ２</t>
    <phoneticPr fontId="1"/>
  </si>
  <si>
    <t>交点座標Ｘ</t>
    <rPh sb="0" eb="2">
      <t>コウテン</t>
    </rPh>
    <rPh sb="2" eb="4">
      <t>ザヒョウ</t>
    </rPh>
    <phoneticPr fontId="1"/>
  </si>
  <si>
    <t>交点座標Ｙ</t>
    <rPh sb="0" eb="2">
      <t>コウテン</t>
    </rPh>
    <rPh sb="2" eb="4">
      <t>ザヒョウ</t>
    </rPh>
    <phoneticPr fontId="1"/>
  </si>
  <si>
    <t>Ａ２</t>
    <phoneticPr fontId="1"/>
  </si>
  <si>
    <t>----</t>
  </si>
  <si>
    <t>Ｘ</t>
    <phoneticPr fontId="1"/>
  </si>
  <si>
    <t>Ｙ</t>
    <phoneticPr fontId="1"/>
  </si>
  <si>
    <t>ｍ２－ｍ１</t>
    <phoneticPr fontId="1"/>
  </si>
  <si>
    <t>--</t>
  </si>
  <si>
    <t>--</t>
    <phoneticPr fontId="1"/>
  </si>
  <si>
    <t>----</t>
    <phoneticPr fontId="1"/>
  </si>
  <si>
    <t>ｍ１</t>
    <phoneticPr fontId="1"/>
  </si>
  <si>
    <t>ΔＸ</t>
    <phoneticPr fontId="1"/>
  </si>
  <si>
    <t>ΔＹ</t>
    <phoneticPr fontId="1"/>
  </si>
  <si>
    <t>アークタンジェント</t>
    <phoneticPr fontId="1"/>
  </si>
  <si>
    <t>平行線のチェック</t>
    <rPh sb="0" eb="3">
      <t>ヘイコウセン</t>
    </rPh>
    <phoneticPr fontId="1"/>
  </si>
  <si>
    <t>A1</t>
    <phoneticPr fontId="1"/>
  </si>
  <si>
    <t>A2</t>
    <phoneticPr fontId="1"/>
  </si>
  <si>
    <t>B1</t>
    <phoneticPr fontId="1"/>
  </si>
  <si>
    <t>B2</t>
    <phoneticPr fontId="1"/>
  </si>
  <si>
    <t>交点</t>
    <rPh sb="0" eb="2">
      <t>コウテン</t>
    </rPh>
    <phoneticPr fontId="1"/>
  </si>
  <si>
    <t>交 点 計 算 （直線－直線）</t>
    <rPh sb="0" eb="1">
      <t>コウ</t>
    </rPh>
    <rPh sb="2" eb="3">
      <t>テン</t>
    </rPh>
    <rPh sb="4" eb="5">
      <t>ケイ</t>
    </rPh>
    <rPh sb="6" eb="7">
      <t>サン</t>
    </rPh>
    <rPh sb="9" eb="11">
      <t>チョクセン</t>
    </rPh>
    <rPh sb="12" eb="14">
      <t>チョクセン</t>
    </rPh>
    <phoneticPr fontId="1"/>
  </si>
  <si>
    <t>Ａ１</t>
    <phoneticPr fontId="1"/>
  </si>
  <si>
    <t>　Ｂ１</t>
    <phoneticPr fontId="1"/>
  </si>
  <si>
    <t>　　　　　Ｂ２</t>
    <phoneticPr fontId="1"/>
  </si>
  <si>
    <t>Ａ線</t>
    <rPh sb="1" eb="2">
      <t>セン</t>
    </rPh>
    <phoneticPr fontId="1"/>
  </si>
  <si>
    <t>Ｂ線</t>
    <rPh sb="1" eb="2">
      <t>セン</t>
    </rPh>
    <phoneticPr fontId="1"/>
  </si>
  <si>
    <t>Ａ 線 の 座 標</t>
    <rPh sb="2" eb="3">
      <t>セン</t>
    </rPh>
    <rPh sb="6" eb="7">
      <t>ザ</t>
    </rPh>
    <rPh sb="8" eb="9">
      <t>シルベ</t>
    </rPh>
    <phoneticPr fontId="1"/>
  </si>
  <si>
    <t>Ｘ</t>
    <phoneticPr fontId="1"/>
  </si>
  <si>
    <t>Ｙ</t>
    <phoneticPr fontId="1"/>
  </si>
  <si>
    <t>Ｂ 線 の 座 標</t>
    <rPh sb="2" eb="3">
      <t>セン</t>
    </rPh>
    <rPh sb="6" eb="7">
      <t>ザ</t>
    </rPh>
    <rPh sb="8" eb="9">
      <t>シルベ</t>
    </rPh>
    <phoneticPr fontId="1"/>
  </si>
  <si>
    <t>サンプルデータ７</t>
    <phoneticPr fontId="1"/>
  </si>
  <si>
    <t>※このシートで実際に計算できます。（入力項目欄：黄色、計算結果欄：緑色）</t>
  </si>
  <si>
    <t>交 点 座 標</t>
    <rPh sb="0" eb="1">
      <t>コウ</t>
    </rPh>
    <rPh sb="2" eb="3">
      <t>テン</t>
    </rPh>
    <rPh sb="4" eb="5">
      <t>ザ</t>
    </rPh>
    <rPh sb="6" eb="7">
      <t>シルベ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</si>
</sst>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00_ "/>
    <numFmt numFmtId="182" formatCode="0_ "/>
    <numFmt numFmtId="183" formatCode="0.00_ "/>
    <numFmt numFmtId="184" formatCode="0.0000_ "/>
    <numFmt numFmtId="190" formatCode="0.00000_ "/>
  </numFmts>
  <fonts count="16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charset val="128"/>
    </font>
    <font>
      <sz val="11"/>
      <name val="ＭＳ Ｐゴシック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hair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4" fillId="0" borderId="0" xfId="0" applyFont="1" applyProtection="1"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14" fontId="4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Border="1" applyAlignment="1" applyProtection="1">
      <protection hidden="1"/>
    </xf>
    <xf numFmtId="176" fontId="7" fillId="0" borderId="0" xfId="0" applyNumberFormat="1" applyFont="1" applyBorder="1" applyAlignment="1" applyProtection="1">
      <protection hidden="1"/>
    </xf>
    <xf numFmtId="176" fontId="7" fillId="0" borderId="0" xfId="0" applyNumberFormat="1" applyFont="1" applyProtection="1">
      <protection hidden="1"/>
    </xf>
    <xf numFmtId="49" fontId="7" fillId="0" borderId="0" xfId="0" applyNumberFormat="1" applyFont="1" applyProtection="1">
      <protection hidden="1"/>
    </xf>
    <xf numFmtId="182" fontId="7" fillId="0" borderId="0" xfId="0" applyNumberFormat="1" applyFont="1" applyProtection="1">
      <protection hidden="1"/>
    </xf>
    <xf numFmtId="182" fontId="7" fillId="0" borderId="0" xfId="0" applyNumberFormat="1" applyFont="1" applyAlignment="1" applyProtection="1">
      <alignment horizontal="center"/>
      <protection hidden="1"/>
    </xf>
    <xf numFmtId="183" fontId="7" fillId="0" borderId="0" xfId="0" applyNumberFormat="1" applyFont="1" applyAlignment="1" applyProtection="1">
      <alignment horizontal="center"/>
      <protection hidden="1"/>
    </xf>
    <xf numFmtId="176" fontId="7" fillId="0" borderId="0" xfId="0" applyNumberFormat="1" applyFont="1" applyAlignme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184" fontId="7" fillId="0" borderId="0" xfId="0" applyNumberFormat="1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176" fontId="4" fillId="0" borderId="0" xfId="0" applyNumberFormat="1" applyFont="1" applyAlignment="1" applyProtection="1">
      <alignment vertical="center"/>
      <protection hidden="1"/>
    </xf>
    <xf numFmtId="184" fontId="4" fillId="0" borderId="0" xfId="0" applyNumberFormat="1" applyFont="1" applyProtection="1">
      <protection hidden="1"/>
    </xf>
    <xf numFmtId="190" fontId="4" fillId="0" borderId="0" xfId="0" applyNumberFormat="1" applyFont="1" applyProtection="1">
      <protection hidden="1"/>
    </xf>
    <xf numFmtId="49" fontId="7" fillId="0" borderId="17" xfId="0" applyNumberFormat="1" applyFont="1" applyBorder="1" applyAlignment="1" applyProtection="1">
      <alignment vertical="center"/>
      <protection hidden="1"/>
    </xf>
    <xf numFmtId="49" fontId="7" fillId="0" borderId="10" xfId="0" applyNumberFormat="1" applyFont="1" applyBorder="1" applyAlignment="1" applyProtection="1">
      <alignment vertical="center"/>
      <protection hidden="1"/>
    </xf>
    <xf numFmtId="49" fontId="7" fillId="0" borderId="18" xfId="0" applyNumberFormat="1" applyFont="1" applyBorder="1" applyAlignment="1" applyProtection="1">
      <alignment vertical="center"/>
      <protection hidden="1"/>
    </xf>
    <xf numFmtId="49" fontId="8" fillId="0" borderId="0" xfId="0" applyNumberFormat="1" applyFont="1" applyBorder="1" applyAlignment="1" applyProtection="1">
      <alignment vertical="center"/>
      <protection hidden="1"/>
    </xf>
    <xf numFmtId="49" fontId="8" fillId="0" borderId="20" xfId="0" applyNumberFormat="1" applyFont="1" applyBorder="1" applyAlignment="1" applyProtection="1">
      <alignment vertical="center"/>
      <protection hidden="1"/>
    </xf>
    <xf numFmtId="49" fontId="8" fillId="0" borderId="21" xfId="0" applyNumberFormat="1" applyFont="1" applyBorder="1" applyAlignment="1" applyProtection="1">
      <alignment vertical="center"/>
      <protection hidden="1"/>
    </xf>
    <xf numFmtId="49" fontId="8" fillId="0" borderId="22" xfId="0" applyNumberFormat="1" applyFont="1" applyBorder="1" applyAlignment="1" applyProtection="1">
      <alignment vertical="center"/>
      <protection hidden="1"/>
    </xf>
    <xf numFmtId="49" fontId="8" fillId="0" borderId="23" xfId="0" applyNumberFormat="1" applyFont="1" applyBorder="1" applyAlignment="1" applyProtection="1">
      <alignment vertical="center"/>
      <protection hidden="1"/>
    </xf>
    <xf numFmtId="49" fontId="8" fillId="0" borderId="24" xfId="0" applyNumberFormat="1" applyFont="1" applyBorder="1" applyAlignment="1" applyProtection="1">
      <alignment vertical="center"/>
      <protection hidden="1"/>
    </xf>
    <xf numFmtId="0" fontId="3" fillId="0" borderId="25" xfId="0" applyFont="1" applyBorder="1" applyAlignment="1" applyProtection="1">
      <alignment horizontal="left" vertical="center"/>
      <protection hidden="1"/>
    </xf>
    <xf numFmtId="0" fontId="3" fillId="0" borderId="17" xfId="0" applyFont="1" applyBorder="1" applyAlignment="1" applyProtection="1">
      <alignment horizontal="lef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49" fontId="9" fillId="0" borderId="0" xfId="1" applyNumberFormat="1" applyAlignment="1" applyProtection="1">
      <alignment vertical="center"/>
      <protection hidden="1"/>
    </xf>
    <xf numFmtId="0" fontId="9" fillId="0" borderId="0" xfId="1" applyAlignment="1" applyProtection="1"/>
    <xf numFmtId="0" fontId="13" fillId="0" borderId="0" xfId="0" applyFont="1" applyAlignment="1">
      <alignment vertical="center"/>
    </xf>
    <xf numFmtId="49" fontId="8" fillId="0" borderId="0" xfId="0" applyNumberFormat="1" applyFont="1" applyBorder="1" applyAlignment="1" applyProtection="1">
      <alignment vertical="center"/>
      <protection hidden="1"/>
    </xf>
    <xf numFmtId="49" fontId="7" fillId="0" borderId="10" xfId="0" applyNumberFormat="1" applyFont="1" applyBorder="1" applyAlignment="1" applyProtection="1">
      <alignment vertical="center"/>
      <protection hidden="1"/>
    </xf>
    <xf numFmtId="49" fontId="8" fillId="0" borderId="21" xfId="0" applyNumberFormat="1" applyFont="1" applyBorder="1" applyAlignment="1" applyProtection="1">
      <alignment vertical="center"/>
      <protection hidden="1"/>
    </xf>
    <xf numFmtId="49" fontId="8" fillId="0" borderId="0" xfId="0" applyNumberFormat="1" applyFont="1" applyBorder="1" applyAlignment="1" applyProtection="1">
      <alignment horizontal="right" vertical="center"/>
      <protection hidden="1"/>
    </xf>
    <xf numFmtId="0" fontId="5" fillId="0" borderId="24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horizontal="center" vertical="top"/>
      <protection hidden="1"/>
    </xf>
    <xf numFmtId="0" fontId="0" fillId="0" borderId="10" xfId="0" applyBorder="1" applyAlignment="1" applyProtection="1">
      <alignment horizontal="center"/>
      <protection hidden="1"/>
    </xf>
    <xf numFmtId="0" fontId="14" fillId="0" borderId="50" xfId="0" applyFont="1" applyBorder="1" applyAlignment="1" applyProtection="1">
      <alignment horizontal="center" vertical="center"/>
      <protection hidden="1"/>
    </xf>
    <xf numFmtId="0" fontId="14" fillId="0" borderId="51" xfId="0" applyFont="1" applyBorder="1" applyAlignment="1" applyProtection="1">
      <alignment horizontal="center" vertical="center"/>
      <protection hidden="1"/>
    </xf>
    <xf numFmtId="0" fontId="15" fillId="2" borderId="52" xfId="0" applyFont="1" applyFill="1" applyBorder="1" applyAlignment="1" applyProtection="1">
      <alignment vertical="center"/>
      <protection locked="0"/>
    </xf>
    <xf numFmtId="0" fontId="15" fillId="2" borderId="51" xfId="0" applyFont="1" applyFill="1" applyBorder="1" applyAlignment="1" applyProtection="1">
      <alignment vertical="center"/>
      <protection locked="0"/>
    </xf>
    <xf numFmtId="0" fontId="15" fillId="2" borderId="53" xfId="0" applyFont="1" applyFill="1" applyBorder="1" applyAlignment="1" applyProtection="1">
      <alignment vertical="center"/>
      <protection locked="0"/>
    </xf>
    <xf numFmtId="0" fontId="14" fillId="0" borderId="23" xfId="0" applyFont="1" applyBorder="1" applyAlignment="1" applyProtection="1">
      <alignment horizontal="center" vertical="center"/>
      <protection hidden="1"/>
    </xf>
    <xf numFmtId="0" fontId="14" fillId="0" borderId="54" xfId="0" applyFont="1" applyBorder="1" applyAlignment="1" applyProtection="1">
      <alignment horizontal="center" vertical="center"/>
      <protection hidden="1"/>
    </xf>
    <xf numFmtId="0" fontId="14" fillId="0" borderId="56" xfId="0" applyFont="1" applyBorder="1" applyAlignment="1" applyProtection="1">
      <alignment horizontal="center" vertical="center"/>
      <protection hidden="1"/>
    </xf>
    <xf numFmtId="0" fontId="14" fillId="0" borderId="57" xfId="0" applyFont="1" applyBorder="1" applyAlignment="1" applyProtection="1">
      <alignment horizontal="center" vertical="center"/>
      <protection hidden="1"/>
    </xf>
    <xf numFmtId="0" fontId="3" fillId="0" borderId="56" xfId="0" applyFont="1" applyBorder="1" applyAlignment="1" applyProtection="1">
      <alignment horizontal="center" vertical="center"/>
      <protection hidden="1"/>
    </xf>
    <xf numFmtId="0" fontId="3" fillId="0" borderId="58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14" fillId="0" borderId="55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12" xfId="0" applyFont="1" applyBorder="1" applyAlignment="1" applyProtection="1">
      <alignment horizontal="center"/>
      <protection hidden="1"/>
    </xf>
    <xf numFmtId="0" fontId="14" fillId="0" borderId="2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right"/>
      <protection hidden="1"/>
    </xf>
    <xf numFmtId="0" fontId="3" fillId="0" borderId="3" xfId="0" quotePrefix="1" applyFont="1" applyBorder="1" applyAlignment="1" applyProtection="1">
      <alignment horizontal="right"/>
      <protection hidden="1"/>
    </xf>
    <xf numFmtId="0" fontId="3" fillId="0" borderId="4" xfId="0" quotePrefix="1" applyFont="1" applyBorder="1" applyAlignment="1" applyProtection="1">
      <alignment horizontal="right"/>
      <protection hidden="1"/>
    </xf>
    <xf numFmtId="0" fontId="3" fillId="0" borderId="59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49" fontId="15" fillId="2" borderId="8" xfId="0" quotePrefix="1" applyNumberFormat="1" applyFont="1" applyFill="1" applyBorder="1" applyAlignment="1" applyProtection="1">
      <alignment horizontal="left" vertical="center"/>
      <protection locked="0"/>
    </xf>
    <xf numFmtId="176" fontId="15" fillId="2" borderId="26" xfId="0" applyNumberFormat="1" applyFont="1" applyFill="1" applyBorder="1" applyAlignment="1" applyProtection="1">
      <alignment vertical="center"/>
      <protection locked="0"/>
    </xf>
    <xf numFmtId="176" fontId="15" fillId="2" borderId="6" xfId="0" applyNumberFormat="1" applyFont="1" applyFill="1" applyBorder="1" applyAlignment="1" applyProtection="1">
      <alignment vertical="center"/>
      <protection locked="0"/>
    </xf>
    <xf numFmtId="182" fontId="3" fillId="0" borderId="6" xfId="0" quotePrefix="1" applyNumberFormat="1" applyFont="1" applyBorder="1" applyAlignment="1" applyProtection="1">
      <alignment horizontal="center" vertical="center"/>
      <protection hidden="1"/>
    </xf>
    <xf numFmtId="182" fontId="3" fillId="0" borderId="7" xfId="0" quotePrefix="1" applyNumberFormat="1" applyFont="1" applyBorder="1" applyAlignment="1" applyProtection="1">
      <alignment horizontal="center" vertical="center"/>
      <protection hidden="1"/>
    </xf>
    <xf numFmtId="182" fontId="3" fillId="0" borderId="8" xfId="0" quotePrefix="1" applyNumberFormat="1" applyFont="1" applyBorder="1" applyAlignment="1" applyProtection="1">
      <alignment horizontal="center" vertical="center"/>
      <protection hidden="1"/>
    </xf>
    <xf numFmtId="182" fontId="3" fillId="0" borderId="9" xfId="0" quotePrefix="1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3" fillId="0" borderId="1" xfId="0" applyFont="1" applyFill="1" applyBorder="1" applyAlignment="1" applyProtection="1">
      <alignment horizontal="left"/>
      <protection hidden="1"/>
    </xf>
    <xf numFmtId="49" fontId="15" fillId="2" borderId="27" xfId="0" quotePrefix="1" applyNumberFormat="1" applyFont="1" applyFill="1" applyBorder="1" applyAlignment="1" applyProtection="1">
      <alignment horizontal="left" vertical="center"/>
      <protection locked="0"/>
    </xf>
    <xf numFmtId="176" fontId="15" fillId="2" borderId="10" xfId="0" applyNumberFormat="1" applyFont="1" applyFill="1" applyBorder="1" applyAlignment="1" applyProtection="1">
      <alignment vertical="center"/>
      <protection locked="0"/>
    </xf>
    <xf numFmtId="176" fontId="15" fillId="2" borderId="29" xfId="0" applyNumberFormat="1" applyFont="1" applyFill="1" applyBorder="1" applyAlignment="1" applyProtection="1">
      <alignment vertical="center"/>
      <protection locked="0"/>
    </xf>
    <xf numFmtId="182" fontId="3" fillId="3" borderId="29" xfId="0" applyNumberFormat="1" applyFont="1" applyFill="1" applyBorder="1" applyAlignment="1" applyProtection="1">
      <alignment vertical="center"/>
      <protection hidden="1"/>
    </xf>
    <xf numFmtId="182" fontId="3" fillId="3" borderId="35" xfId="0" applyNumberFormat="1" applyFont="1" applyFill="1" applyBorder="1" applyAlignment="1" applyProtection="1">
      <alignment vertical="center"/>
      <protection hidden="1"/>
    </xf>
    <xf numFmtId="183" fontId="3" fillId="3" borderId="27" xfId="0" applyNumberFormat="1" applyFont="1" applyFill="1" applyBorder="1" applyAlignment="1" applyProtection="1">
      <alignment vertical="center"/>
      <protection hidden="1"/>
    </xf>
    <xf numFmtId="176" fontId="3" fillId="3" borderId="36" xfId="0" applyNumberFormat="1" applyFont="1" applyFill="1" applyBorder="1" applyAlignment="1" applyProtection="1">
      <alignment vertical="center"/>
      <protection hidden="1"/>
    </xf>
    <xf numFmtId="0" fontId="3" fillId="0" borderId="10" xfId="0" applyFont="1" applyBorder="1" applyAlignment="1" applyProtection="1">
      <alignment horizontal="right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49" fontId="3" fillId="0" borderId="0" xfId="0" applyNumberFormat="1" applyFont="1" applyProtection="1">
      <protection hidden="1"/>
    </xf>
    <xf numFmtId="0" fontId="12" fillId="0" borderId="13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14" fillId="0" borderId="60" xfId="0" applyFont="1" applyBorder="1" applyAlignment="1" applyProtection="1">
      <alignment horizontal="center" vertical="center"/>
      <protection hidden="1"/>
    </xf>
    <xf numFmtId="0" fontId="14" fillId="0" borderId="61" xfId="0" applyFont="1" applyBorder="1" applyAlignment="1" applyProtection="1">
      <alignment horizontal="center" vertical="center"/>
      <protection hidden="1"/>
    </xf>
    <xf numFmtId="0" fontId="14" fillId="0" borderId="62" xfId="0" applyFont="1" applyBorder="1" applyAlignment="1" applyProtection="1">
      <alignment horizontal="center" vertical="center"/>
      <protection hidden="1"/>
    </xf>
    <xf numFmtId="0" fontId="14" fillId="0" borderId="63" xfId="0" applyFont="1" applyBorder="1" applyAlignment="1" applyProtection="1">
      <alignment horizontal="center" vertical="center"/>
      <protection hidden="1"/>
    </xf>
    <xf numFmtId="0" fontId="3" fillId="0" borderId="62" xfId="0" applyFont="1" applyBorder="1" applyAlignment="1" applyProtection="1">
      <alignment horizontal="center" vertical="center"/>
      <protection hidden="1"/>
    </xf>
    <xf numFmtId="0" fontId="3" fillId="0" borderId="63" xfId="0" applyFont="1" applyBorder="1" applyAlignment="1" applyProtection="1">
      <alignment horizontal="center" vertical="center"/>
      <protection hidden="1"/>
    </xf>
    <xf numFmtId="0" fontId="3" fillId="0" borderId="64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49" xfId="0" applyFont="1" applyBorder="1" applyAlignment="1" applyProtection="1">
      <alignment vertical="center"/>
      <protection hidden="1"/>
    </xf>
    <xf numFmtId="49" fontId="15" fillId="2" borderId="30" xfId="0" quotePrefix="1" applyNumberFormat="1" applyFont="1" applyFill="1" applyBorder="1" applyProtection="1">
      <protection locked="0"/>
    </xf>
    <xf numFmtId="176" fontId="15" fillId="2" borderId="6" xfId="0" applyNumberFormat="1" applyFont="1" applyFill="1" applyBorder="1" applyAlignment="1" applyProtection="1">
      <alignment horizontal="right"/>
      <protection locked="0"/>
    </xf>
    <xf numFmtId="176" fontId="3" fillId="0" borderId="6" xfId="0" quotePrefix="1" applyNumberFormat="1" applyFont="1" applyBorder="1" applyAlignment="1" applyProtection="1">
      <alignment horizontal="center"/>
      <protection hidden="1"/>
    </xf>
    <xf numFmtId="176" fontId="3" fillId="0" borderId="7" xfId="0" quotePrefix="1" applyNumberFormat="1" applyFont="1" applyBorder="1" applyAlignment="1" applyProtection="1">
      <alignment horizontal="center"/>
      <protection hidden="1"/>
    </xf>
    <xf numFmtId="176" fontId="3" fillId="0" borderId="8" xfId="0" quotePrefix="1" applyNumberFormat="1" applyFont="1" applyBorder="1" applyAlignment="1" applyProtection="1">
      <alignment horizontal="center"/>
      <protection hidden="1"/>
    </xf>
    <xf numFmtId="176" fontId="3" fillId="0" borderId="9" xfId="0" quotePrefix="1" applyNumberFormat="1" applyFont="1" applyBorder="1" applyAlignment="1" applyProtection="1">
      <alignment horizontal="center"/>
      <protection hidden="1"/>
    </xf>
    <xf numFmtId="176" fontId="3" fillId="0" borderId="43" xfId="0" quotePrefix="1" applyNumberFormat="1" applyFont="1" applyBorder="1" applyAlignment="1" applyProtection="1">
      <alignment horizontal="center"/>
      <protection hidden="1"/>
    </xf>
    <xf numFmtId="0" fontId="3" fillId="0" borderId="47" xfId="0" applyFont="1" applyBorder="1" applyAlignment="1" applyProtection="1">
      <alignment vertical="center"/>
      <protection hidden="1"/>
    </xf>
    <xf numFmtId="49" fontId="15" fillId="2" borderId="31" xfId="0" quotePrefix="1" applyNumberFormat="1" applyFont="1" applyFill="1" applyBorder="1" applyProtection="1">
      <protection locked="0"/>
    </xf>
    <xf numFmtId="176" fontId="15" fillId="2" borderId="32" xfId="0" applyNumberFormat="1" applyFont="1" applyFill="1" applyBorder="1" applyAlignment="1" applyProtection="1">
      <alignment horizontal="right"/>
      <protection locked="0"/>
    </xf>
    <xf numFmtId="182" fontId="3" fillId="3" borderId="32" xfId="0" applyNumberFormat="1" applyFont="1" applyFill="1" applyBorder="1" applyAlignment="1" applyProtection="1">
      <protection hidden="1"/>
    </xf>
    <xf numFmtId="182" fontId="3" fillId="3" borderId="37" xfId="0" applyNumberFormat="1" applyFont="1" applyFill="1" applyBorder="1" applyAlignment="1" applyProtection="1">
      <protection hidden="1"/>
    </xf>
    <xf numFmtId="183" fontId="3" fillId="3" borderId="38" xfId="0" applyNumberFormat="1" applyFont="1" applyFill="1" applyBorder="1" applyAlignment="1" applyProtection="1">
      <protection hidden="1"/>
    </xf>
    <xf numFmtId="176" fontId="3" fillId="3" borderId="31" xfId="0" applyNumberFormat="1" applyFont="1" applyFill="1" applyBorder="1" applyProtection="1">
      <protection hidden="1"/>
    </xf>
    <xf numFmtId="176" fontId="3" fillId="3" borderId="32" xfId="0" applyNumberFormat="1" applyFont="1" applyFill="1" applyBorder="1" applyAlignment="1" applyProtection="1">
      <protection hidden="1"/>
    </xf>
    <xf numFmtId="176" fontId="3" fillId="3" borderId="45" xfId="0" applyNumberFormat="1" applyFont="1" applyFill="1" applyBorder="1" applyAlignment="1" applyProtection="1">
      <protection hidden="1"/>
    </xf>
    <xf numFmtId="0" fontId="3" fillId="0" borderId="48" xfId="0" applyFont="1" applyBorder="1" applyAlignment="1" applyProtection="1">
      <alignment vertical="center"/>
      <protection hidden="1"/>
    </xf>
    <xf numFmtId="49" fontId="15" fillId="2" borderId="16" xfId="0" quotePrefix="1" applyNumberFormat="1" applyFont="1" applyFill="1" applyBorder="1" applyProtection="1">
      <protection locked="0"/>
    </xf>
    <xf numFmtId="176" fontId="15" fillId="2" borderId="14" xfId="0" applyNumberFormat="1" applyFont="1" applyFill="1" applyBorder="1" applyAlignment="1" applyProtection="1">
      <alignment horizontal="right"/>
      <protection locked="0"/>
    </xf>
    <xf numFmtId="176" fontId="3" fillId="0" borderId="14" xfId="0" applyNumberFormat="1" applyFont="1" applyBorder="1" applyAlignment="1" applyProtection="1">
      <alignment horizontal="center"/>
      <protection hidden="1"/>
    </xf>
    <xf numFmtId="176" fontId="3" fillId="0" borderId="19" xfId="0" applyNumberFormat="1" applyFont="1" applyBorder="1" applyAlignment="1" applyProtection="1">
      <alignment horizontal="center"/>
      <protection hidden="1"/>
    </xf>
    <xf numFmtId="176" fontId="3" fillId="0" borderId="15" xfId="0" applyNumberFormat="1" applyFont="1" applyBorder="1" applyAlignment="1" applyProtection="1">
      <alignment horizontal="center"/>
      <protection hidden="1"/>
    </xf>
    <xf numFmtId="176" fontId="3" fillId="0" borderId="16" xfId="0" applyNumberFormat="1" applyFont="1" applyBorder="1" applyAlignment="1" applyProtection="1">
      <alignment horizontal="center"/>
      <protection hidden="1"/>
    </xf>
    <xf numFmtId="176" fontId="3" fillId="0" borderId="44" xfId="0" applyNumberFormat="1" applyFont="1" applyBorder="1" applyAlignment="1" applyProtection="1">
      <alignment horizontal="center"/>
      <protection hidden="1"/>
    </xf>
    <xf numFmtId="176" fontId="15" fillId="2" borderId="33" xfId="0" applyNumberFormat="1" applyFont="1" applyFill="1" applyBorder="1" applyAlignment="1" applyProtection="1">
      <alignment horizontal="right"/>
      <protection locked="0"/>
    </xf>
    <xf numFmtId="0" fontId="3" fillId="0" borderId="28" xfId="0" applyFont="1" applyBorder="1" applyAlignment="1" applyProtection="1">
      <alignment vertical="center"/>
      <protection hidden="1"/>
    </xf>
    <xf numFmtId="176" fontId="15" fillId="2" borderId="34" xfId="0" applyNumberFormat="1" applyFont="1" applyFill="1" applyBorder="1" applyAlignment="1" applyProtection="1">
      <alignment horizontal="right"/>
      <protection locked="0"/>
    </xf>
    <xf numFmtId="182" fontId="3" fillId="3" borderId="39" xfId="0" applyNumberFormat="1" applyFont="1" applyFill="1" applyBorder="1" applyAlignment="1" applyProtection="1">
      <protection hidden="1"/>
    </xf>
    <xf numFmtId="182" fontId="3" fillId="3" borderId="40" xfId="0" applyNumberFormat="1" applyFont="1" applyFill="1" applyBorder="1" applyAlignment="1" applyProtection="1">
      <protection hidden="1"/>
    </xf>
    <xf numFmtId="183" fontId="3" fillId="3" borderId="41" xfId="0" applyNumberFormat="1" applyFont="1" applyFill="1" applyBorder="1" applyAlignment="1" applyProtection="1">
      <protection hidden="1"/>
    </xf>
    <xf numFmtId="176" fontId="3" fillId="3" borderId="42" xfId="0" applyNumberFormat="1" applyFont="1" applyFill="1" applyBorder="1" applyProtection="1">
      <protection hidden="1"/>
    </xf>
    <xf numFmtId="176" fontId="3" fillId="3" borderId="39" xfId="0" applyNumberFormat="1" applyFont="1" applyFill="1" applyBorder="1" applyAlignment="1" applyProtection="1">
      <protection hidden="1"/>
    </xf>
    <xf numFmtId="176" fontId="3" fillId="3" borderId="46" xfId="0" applyNumberFormat="1" applyFont="1" applyFill="1" applyBorder="1" applyAlignment="1" applyProtection="1"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32</xdr:row>
      <xdr:rowOff>104775</xdr:rowOff>
    </xdr:from>
    <xdr:to>
      <xdr:col>8</xdr:col>
      <xdr:colOff>352425</xdr:colOff>
      <xdr:row>34</xdr:row>
      <xdr:rowOff>19050</xdr:rowOff>
    </xdr:to>
    <xdr:sp macro="" textlink="">
      <xdr:nvSpPr>
        <xdr:cNvPr id="1035" name="Freeform 11">
          <a:extLst>
            <a:ext uri="{FF2B5EF4-FFF2-40B4-BE49-F238E27FC236}">
              <a16:creationId xmlns:a16="http://schemas.microsoft.com/office/drawing/2014/main" id="{987EF61D-43DA-4AB7-8C12-5B0C145A797B}"/>
            </a:ext>
          </a:extLst>
        </xdr:cNvPr>
        <xdr:cNvSpPr>
          <a:spLocks/>
        </xdr:cNvSpPr>
      </xdr:nvSpPr>
      <xdr:spPr bwMode="auto">
        <a:xfrm>
          <a:off x="4505325" y="7439025"/>
          <a:ext cx="352425" cy="352425"/>
        </a:xfrm>
        <a:custGeom>
          <a:avLst/>
          <a:gdLst>
            <a:gd name="T0" fmla="*/ 0 w 37"/>
            <a:gd name="T1" fmla="*/ 0 h 37"/>
            <a:gd name="T2" fmla="*/ 23 w 37"/>
            <a:gd name="T3" fmla="*/ 4 h 37"/>
            <a:gd name="T4" fmla="*/ 35 w 37"/>
            <a:gd name="T5" fmla="*/ 23 h 37"/>
            <a:gd name="T6" fmla="*/ 37 w 37"/>
            <a:gd name="T7" fmla="*/ 37 h 3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37" h="37">
              <a:moveTo>
                <a:pt x="0" y="0"/>
              </a:moveTo>
              <a:cubicBezTo>
                <a:pt x="8" y="0"/>
                <a:pt x="17" y="0"/>
                <a:pt x="23" y="4"/>
              </a:cubicBezTo>
              <a:cubicBezTo>
                <a:pt x="29" y="8"/>
                <a:pt x="33" y="18"/>
                <a:pt x="35" y="23"/>
              </a:cubicBezTo>
              <a:cubicBezTo>
                <a:pt x="37" y="28"/>
                <a:pt x="37" y="32"/>
                <a:pt x="37" y="3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590550</xdr:colOff>
      <xdr:row>39</xdr:row>
      <xdr:rowOff>104775</xdr:rowOff>
    </xdr:from>
    <xdr:to>
      <xdr:col>9</xdr:col>
      <xdr:colOff>0</xdr:colOff>
      <xdr:row>40</xdr:row>
      <xdr:rowOff>171450</xdr:rowOff>
    </xdr:to>
    <xdr:sp macro="" textlink="">
      <xdr:nvSpPr>
        <xdr:cNvPr id="1036" name="Freeform 12">
          <a:extLst>
            <a:ext uri="{FF2B5EF4-FFF2-40B4-BE49-F238E27FC236}">
              <a16:creationId xmlns:a16="http://schemas.microsoft.com/office/drawing/2014/main" id="{6D857A32-0359-4A03-BD19-3DFA8EAE6B70}"/>
            </a:ext>
          </a:extLst>
        </xdr:cNvPr>
        <xdr:cNvSpPr>
          <a:spLocks/>
        </xdr:cNvSpPr>
      </xdr:nvSpPr>
      <xdr:spPr bwMode="auto">
        <a:xfrm>
          <a:off x="5095875" y="8972550"/>
          <a:ext cx="447675" cy="285750"/>
        </a:xfrm>
        <a:custGeom>
          <a:avLst/>
          <a:gdLst>
            <a:gd name="T0" fmla="*/ 47 w 47"/>
            <a:gd name="T1" fmla="*/ 0 h 30"/>
            <a:gd name="T2" fmla="*/ 20 w 47"/>
            <a:gd name="T3" fmla="*/ 6 h 30"/>
            <a:gd name="T4" fmla="*/ 0 w 47"/>
            <a:gd name="T5" fmla="*/ 30 h 3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7" h="30">
              <a:moveTo>
                <a:pt x="47" y="0"/>
              </a:moveTo>
              <a:cubicBezTo>
                <a:pt x="37" y="0"/>
                <a:pt x="28" y="1"/>
                <a:pt x="20" y="6"/>
              </a:cubicBezTo>
              <a:cubicBezTo>
                <a:pt x="12" y="11"/>
                <a:pt x="6" y="20"/>
                <a:pt x="0" y="3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95250</xdr:colOff>
      <xdr:row>36</xdr:row>
      <xdr:rowOff>114300</xdr:rowOff>
    </xdr:from>
    <xdr:to>
      <xdr:col>5</xdr:col>
      <xdr:colOff>171450</xdr:colOff>
      <xdr:row>40</xdr:row>
      <xdr:rowOff>114300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8568AC83-B7DD-4629-BE32-610A6BE1E8AF}"/>
            </a:ext>
          </a:extLst>
        </xdr:cNvPr>
        <xdr:cNvSpPr>
          <a:spLocks noChangeShapeType="1"/>
        </xdr:cNvSpPr>
      </xdr:nvSpPr>
      <xdr:spPr bwMode="auto">
        <a:xfrm flipV="1">
          <a:off x="1390650" y="8324850"/>
          <a:ext cx="2152650" cy="8763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171450</xdr:colOff>
      <xdr:row>32</xdr:row>
      <xdr:rowOff>114300</xdr:rowOff>
    </xdr:from>
    <xdr:to>
      <xdr:col>9</xdr:col>
      <xdr:colOff>161925</xdr:colOff>
      <xdr:row>36</xdr:row>
      <xdr:rowOff>114300</xdr:rowOff>
    </xdr:to>
    <xdr:sp macro="" textlink="">
      <xdr:nvSpPr>
        <xdr:cNvPr id="1045" name="Line 21">
          <a:extLst>
            <a:ext uri="{FF2B5EF4-FFF2-40B4-BE49-F238E27FC236}">
              <a16:creationId xmlns:a16="http://schemas.microsoft.com/office/drawing/2014/main" id="{FD88837A-1721-4AD6-A89C-E04BEA16D870}"/>
            </a:ext>
          </a:extLst>
        </xdr:cNvPr>
        <xdr:cNvSpPr>
          <a:spLocks noChangeShapeType="1"/>
        </xdr:cNvSpPr>
      </xdr:nvSpPr>
      <xdr:spPr bwMode="auto">
        <a:xfrm flipV="1">
          <a:off x="3543300" y="7448550"/>
          <a:ext cx="2162175" cy="8763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161925</xdr:colOff>
      <xdr:row>31</xdr:row>
      <xdr:rowOff>152400</xdr:rowOff>
    </xdr:from>
    <xdr:to>
      <xdr:col>9</xdr:col>
      <xdr:colOff>590550</xdr:colOff>
      <xdr:row>32</xdr:row>
      <xdr:rowOff>114300</xdr:rowOff>
    </xdr:to>
    <xdr:sp macro="" textlink="">
      <xdr:nvSpPr>
        <xdr:cNvPr id="1046" name="Line 22">
          <a:extLst>
            <a:ext uri="{FF2B5EF4-FFF2-40B4-BE49-F238E27FC236}">
              <a16:creationId xmlns:a16="http://schemas.microsoft.com/office/drawing/2014/main" id="{107B07E1-A810-4738-9351-31F05CF679EC}"/>
            </a:ext>
          </a:extLst>
        </xdr:cNvPr>
        <xdr:cNvSpPr>
          <a:spLocks noChangeShapeType="1"/>
        </xdr:cNvSpPr>
      </xdr:nvSpPr>
      <xdr:spPr bwMode="auto">
        <a:xfrm flipV="1">
          <a:off x="5705475" y="7267575"/>
          <a:ext cx="428625" cy="1809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447675</xdr:colOff>
      <xdr:row>40</xdr:row>
      <xdr:rowOff>123825</xdr:rowOff>
    </xdr:from>
    <xdr:to>
      <xdr:col>3</xdr:col>
      <xdr:colOff>76200</xdr:colOff>
      <xdr:row>41</xdr:row>
      <xdr:rowOff>85725</xdr:rowOff>
    </xdr:to>
    <xdr:sp macro="" textlink="">
      <xdr:nvSpPr>
        <xdr:cNvPr id="1047" name="Line 23">
          <a:extLst>
            <a:ext uri="{FF2B5EF4-FFF2-40B4-BE49-F238E27FC236}">
              <a16:creationId xmlns:a16="http://schemas.microsoft.com/office/drawing/2014/main" id="{22885EEC-AB81-4CB7-959E-83D86ABB6FAC}"/>
            </a:ext>
          </a:extLst>
        </xdr:cNvPr>
        <xdr:cNvSpPr>
          <a:spLocks noChangeShapeType="1"/>
        </xdr:cNvSpPr>
      </xdr:nvSpPr>
      <xdr:spPr bwMode="auto">
        <a:xfrm flipV="1">
          <a:off x="933450" y="9210675"/>
          <a:ext cx="438150" cy="1809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238125</xdr:colOff>
      <xdr:row>38</xdr:row>
      <xdr:rowOff>123825</xdr:rowOff>
    </xdr:from>
    <xdr:to>
      <xdr:col>9</xdr:col>
      <xdr:colOff>171450</xdr:colOff>
      <xdr:row>42</xdr:row>
      <xdr:rowOff>114300</xdr:rowOff>
    </xdr:to>
    <xdr:sp macro="" textlink="">
      <xdr:nvSpPr>
        <xdr:cNvPr id="1048" name="Line 24">
          <a:extLst>
            <a:ext uri="{FF2B5EF4-FFF2-40B4-BE49-F238E27FC236}">
              <a16:creationId xmlns:a16="http://schemas.microsoft.com/office/drawing/2014/main" id="{F715BAE5-49CA-4409-B630-BAFA215323D8}"/>
            </a:ext>
          </a:extLst>
        </xdr:cNvPr>
        <xdr:cNvSpPr>
          <a:spLocks noChangeShapeType="1"/>
        </xdr:cNvSpPr>
      </xdr:nvSpPr>
      <xdr:spPr bwMode="auto">
        <a:xfrm flipH="1" flipV="1">
          <a:off x="4276725" y="8772525"/>
          <a:ext cx="1438275" cy="8667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714375</xdr:colOff>
      <xdr:row>32</xdr:row>
      <xdr:rowOff>57150</xdr:rowOff>
    </xdr:from>
    <xdr:to>
      <xdr:col>7</xdr:col>
      <xdr:colOff>238125</xdr:colOff>
      <xdr:row>38</xdr:row>
      <xdr:rowOff>123825</xdr:rowOff>
    </xdr:to>
    <xdr:sp macro="" textlink="">
      <xdr:nvSpPr>
        <xdr:cNvPr id="1050" name="Line 26">
          <a:extLst>
            <a:ext uri="{FF2B5EF4-FFF2-40B4-BE49-F238E27FC236}">
              <a16:creationId xmlns:a16="http://schemas.microsoft.com/office/drawing/2014/main" id="{38B47D64-0916-4C41-A14E-6BD449DF72F9}"/>
            </a:ext>
          </a:extLst>
        </xdr:cNvPr>
        <xdr:cNvSpPr>
          <a:spLocks noChangeShapeType="1"/>
        </xdr:cNvSpPr>
      </xdr:nvSpPr>
      <xdr:spPr bwMode="auto">
        <a:xfrm flipH="1" flipV="1">
          <a:off x="2009775" y="7391400"/>
          <a:ext cx="2266950" cy="13811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161925</xdr:colOff>
      <xdr:row>42</xdr:row>
      <xdr:rowOff>114300</xdr:rowOff>
    </xdr:from>
    <xdr:to>
      <xdr:col>9</xdr:col>
      <xdr:colOff>647700</xdr:colOff>
      <xdr:row>43</xdr:row>
      <xdr:rowOff>190500</xdr:rowOff>
    </xdr:to>
    <xdr:sp macro="" textlink="">
      <xdr:nvSpPr>
        <xdr:cNvPr id="1052" name="Line 28">
          <a:extLst>
            <a:ext uri="{FF2B5EF4-FFF2-40B4-BE49-F238E27FC236}">
              <a16:creationId xmlns:a16="http://schemas.microsoft.com/office/drawing/2014/main" id="{C7C220D8-CB4D-47E3-80C6-AAE7942B28C8}"/>
            </a:ext>
          </a:extLst>
        </xdr:cNvPr>
        <xdr:cNvSpPr>
          <a:spLocks noChangeShapeType="1"/>
        </xdr:cNvSpPr>
      </xdr:nvSpPr>
      <xdr:spPr bwMode="auto">
        <a:xfrm flipH="1" flipV="1">
          <a:off x="5705475" y="9639300"/>
          <a:ext cx="485775" cy="2952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AV47"/>
  <sheetViews>
    <sheetView showGridLines="0" showRowColHeaders="0" tabSelected="1" workbookViewId="0">
      <selection activeCell="D17" sqref="D17"/>
    </sheetView>
  </sheetViews>
  <sheetFormatPr defaultRowHeight="13.5" x14ac:dyDescent="0.15"/>
  <cols>
    <col min="1" max="1" width="2.375" style="13" customWidth="1"/>
    <col min="2" max="2" width="4" style="13" customWidth="1"/>
    <col min="3" max="3" width="10.625" style="17" customWidth="1"/>
    <col min="4" max="5" width="13.625" style="13" customWidth="1"/>
    <col min="6" max="6" width="4.625" style="13" customWidth="1"/>
    <col min="7" max="7" width="4.125" style="22" customWidth="1"/>
    <col min="8" max="8" width="6.125" style="22" customWidth="1"/>
    <col min="9" max="11" width="13.625" style="13" customWidth="1"/>
    <col min="12" max="26" width="9" style="13"/>
    <col min="27" max="27" width="10.5" style="13" hidden="1" customWidth="1"/>
    <col min="28" max="28" width="10.125" style="13" hidden="1" customWidth="1"/>
    <col min="29" max="29" width="3.5" style="13" hidden="1" customWidth="1"/>
    <col min="30" max="30" width="3.25" style="13" hidden="1" customWidth="1"/>
    <col min="31" max="31" width="3.375" style="13" hidden="1" customWidth="1"/>
    <col min="32" max="32" width="12.625" style="13" hidden="1" customWidth="1"/>
    <col min="33" max="33" width="11.625" style="13" hidden="1" customWidth="1"/>
    <col min="34" max="34" width="12" style="13" hidden="1" customWidth="1"/>
    <col min="35" max="35" width="13.25" style="13" hidden="1" customWidth="1"/>
    <col min="36" max="36" width="11.625" style="13" hidden="1" customWidth="1"/>
    <col min="37" max="37" width="11.125" style="13" hidden="1" customWidth="1"/>
    <col min="38" max="38" width="8.625" style="13" hidden="1" customWidth="1"/>
    <col min="39" max="39" width="11.5" style="13" hidden="1" customWidth="1"/>
    <col min="40" max="40" width="13.125" style="13" hidden="1" customWidth="1"/>
    <col min="41" max="41" width="12.75" style="13" hidden="1" customWidth="1"/>
    <col min="42" max="42" width="11.625" style="13" hidden="1" customWidth="1"/>
    <col min="43" max="43" width="0" style="13" hidden="1" customWidth="1"/>
    <col min="44" max="45" width="13.125" style="13" hidden="1" customWidth="1"/>
    <col min="46" max="46" width="13.375" style="13" hidden="1" customWidth="1"/>
    <col min="47" max="47" width="7.875" style="13" hidden="1" customWidth="1"/>
    <col min="48" max="48" width="5.5" style="13" hidden="1" customWidth="1"/>
    <col min="49" max="52" width="0" style="13" hidden="1" customWidth="1"/>
    <col min="53" max="16384" width="9" style="13"/>
  </cols>
  <sheetData>
    <row r="1" spans="1:45" ht="30" customHeight="1" x14ac:dyDescent="0.15">
      <c r="C1" s="42" t="s">
        <v>42</v>
      </c>
      <c r="D1" s="41"/>
      <c r="E1" s="39"/>
    </row>
    <row r="2" spans="1:45" s="1" customFormat="1" ht="34.5" customHeight="1" thickBot="1" x14ac:dyDescent="0.2">
      <c r="C2" s="2"/>
      <c r="D2" s="48" t="s">
        <v>31</v>
      </c>
      <c r="E2" s="49"/>
      <c r="F2" s="49"/>
      <c r="G2" s="49"/>
      <c r="H2" s="49"/>
      <c r="I2" s="49"/>
      <c r="J2" s="49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45" s="1" customFormat="1" ht="18.75" customHeight="1" thickTop="1" thickBot="1" x14ac:dyDescent="0.2">
      <c r="B3" s="50" t="s">
        <v>5</v>
      </c>
      <c r="C3" s="51"/>
      <c r="D3" s="52" t="s">
        <v>41</v>
      </c>
      <c r="E3" s="53"/>
      <c r="F3" s="53"/>
      <c r="G3" s="53"/>
      <c r="H3" s="53"/>
      <c r="I3" s="53"/>
      <c r="J3" s="53"/>
      <c r="K3" s="5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45" s="7" customFormat="1" ht="16.5" customHeight="1" x14ac:dyDescent="0.15">
      <c r="B4" s="55" t="s">
        <v>0</v>
      </c>
      <c r="C4" s="56"/>
      <c r="D4" s="57" t="s">
        <v>37</v>
      </c>
      <c r="E4" s="58"/>
      <c r="F4" s="59" t="s">
        <v>1</v>
      </c>
      <c r="G4" s="59"/>
      <c r="H4" s="59"/>
      <c r="I4" s="60" t="s">
        <v>4</v>
      </c>
      <c r="J4" s="61"/>
      <c r="K4" s="62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45" s="7" customFormat="1" ht="16.5" customHeight="1" thickBot="1" x14ac:dyDescent="0.2">
      <c r="B5" s="63"/>
      <c r="C5" s="64"/>
      <c r="D5" s="65" t="s">
        <v>38</v>
      </c>
      <c r="E5" s="66" t="s">
        <v>39</v>
      </c>
      <c r="F5" s="67" t="s">
        <v>7</v>
      </c>
      <c r="G5" s="68" t="s">
        <v>8</v>
      </c>
      <c r="H5" s="69" t="s">
        <v>9</v>
      </c>
      <c r="I5" s="70"/>
      <c r="J5" s="71"/>
      <c r="K5" s="72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1"/>
      <c r="AB5" s="1"/>
      <c r="AC5" s="1"/>
      <c r="AD5" s="1"/>
      <c r="AE5" s="1">
        <f>SUM(AA6:AD6)</f>
        <v>4</v>
      </c>
      <c r="AF5" s="1">
        <f>IF(AND(AE5=4,AF6=0,AG6=0),-1,0)</f>
        <v>0</v>
      </c>
      <c r="AG5" s="1"/>
      <c r="AH5" s="1"/>
      <c r="AI5" s="1"/>
      <c r="AJ5" s="1"/>
      <c r="AK5" s="1"/>
      <c r="AL5" s="1"/>
    </row>
    <row r="6" spans="1:45" s="10" customFormat="1" ht="17.25" customHeight="1" thickTop="1" x14ac:dyDescent="0.15">
      <c r="B6" s="37" t="s">
        <v>3</v>
      </c>
      <c r="C6" s="73" t="s">
        <v>26</v>
      </c>
      <c r="D6" s="74">
        <v>175082.851</v>
      </c>
      <c r="E6" s="75">
        <v>-14052.727999999999</v>
      </c>
      <c r="F6" s="76" t="s">
        <v>2</v>
      </c>
      <c r="G6" s="77" t="s">
        <v>2</v>
      </c>
      <c r="H6" s="78" t="s">
        <v>2</v>
      </c>
      <c r="I6" s="79" t="s">
        <v>20</v>
      </c>
      <c r="J6" s="80"/>
      <c r="K6" s="81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24">
        <f>IF(D6&lt;&gt;"",1,0)</f>
        <v>1</v>
      </c>
      <c r="AB6" s="24">
        <f>IF(E6&lt;&gt;"",1,0)</f>
        <v>1</v>
      </c>
      <c r="AC6" s="24">
        <f>IF(D7&lt;&gt;"",1,0)</f>
        <v>1</v>
      </c>
      <c r="AD6" s="24">
        <f>IF(E7&lt;&gt;"",1,0)</f>
        <v>1</v>
      </c>
      <c r="AE6" s="24">
        <f>SUM(AA6:AD6)+AF5</f>
        <v>4</v>
      </c>
      <c r="AF6" s="25">
        <f>D6-D7</f>
        <v>16.253999999986263</v>
      </c>
      <c r="AG6" s="25">
        <f>E6-E7</f>
        <v>-11.652999999998428</v>
      </c>
      <c r="AH6" s="24"/>
      <c r="AI6" s="24"/>
      <c r="AJ6" s="24"/>
      <c r="AK6" s="24"/>
      <c r="AL6" s="24"/>
    </row>
    <row r="7" spans="1:45" s="10" customFormat="1" ht="17.25" customHeight="1" thickBot="1" x14ac:dyDescent="0.2">
      <c r="B7" s="38" t="s">
        <v>6</v>
      </c>
      <c r="C7" s="82" t="s">
        <v>27</v>
      </c>
      <c r="D7" s="83">
        <v>175066.59700000001</v>
      </c>
      <c r="E7" s="84">
        <v>-14041.075000000001</v>
      </c>
      <c r="F7" s="85">
        <f>IF(AE6=4,INT(AB8),"")</f>
        <v>144</v>
      </c>
      <c r="G7" s="86">
        <f>IF(AE6=4,INT((AB8-F7)*60),"")</f>
        <v>21</v>
      </c>
      <c r="H7" s="87">
        <f>IF(AE6=4,(AB8-F7-G7/60)*3600,"")</f>
        <v>43.487124395178476</v>
      </c>
      <c r="I7" s="88">
        <f>IF(AE6=4,SQRT(AA7^2+AB7^2),"")</f>
        <v>19.999623121436983</v>
      </c>
      <c r="J7" s="89"/>
      <c r="K7" s="90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25">
        <f>D7-D6</f>
        <v>-16.253999999986263</v>
      </c>
      <c r="AB7" s="25">
        <f>E7-E6</f>
        <v>11.652999999998428</v>
      </c>
      <c r="AC7" s="24"/>
      <c r="AD7" s="24"/>
      <c r="AE7" s="24"/>
      <c r="AF7" s="24" t="s">
        <v>21</v>
      </c>
      <c r="AG7" s="24"/>
      <c r="AH7" s="24"/>
      <c r="AI7" s="24"/>
      <c r="AJ7" s="24"/>
      <c r="AK7" s="24"/>
      <c r="AL7" s="24"/>
    </row>
    <row r="8" spans="1:45" s="7" customFormat="1" ht="14.25" customHeight="1" thickTop="1" thickBot="1" x14ac:dyDescent="0.2">
      <c r="B8" s="91"/>
      <c r="C8" s="92"/>
      <c r="D8" s="93" t="str">
        <f>IF(AF5&lt;0,"↑　★ 座標値エラー ★　↑","")</f>
        <v/>
      </c>
      <c r="E8" s="94"/>
      <c r="F8" s="95"/>
      <c r="G8" s="95"/>
      <c r="H8" s="95"/>
      <c r="I8" s="95"/>
      <c r="J8" s="95"/>
      <c r="K8" s="96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">
        <f>IF(AE6=4,ATAN2(AA7,AB7)*180/PI(),0)</f>
        <v>144.36207975677644</v>
      </c>
      <c r="AB8" s="1">
        <f>IF(0&gt;AA8,AA8+360,AA8)</f>
        <v>144.36207975677644</v>
      </c>
      <c r="AC8" s="1"/>
      <c r="AD8" s="1"/>
      <c r="AE8" s="1"/>
      <c r="AF8" s="1">
        <f>TAN(AB8*PI()/180)</f>
        <v>-0.71693121693172579</v>
      </c>
      <c r="AG8" s="1"/>
      <c r="AH8" s="1"/>
      <c r="AI8" s="1"/>
      <c r="AJ8" s="1"/>
      <c r="AK8" s="1"/>
      <c r="AL8" s="1"/>
    </row>
    <row r="9" spans="1:45" ht="16.5" customHeight="1" thickTop="1" x14ac:dyDescent="0.15">
      <c r="B9" s="97" t="s">
        <v>0</v>
      </c>
      <c r="C9" s="98"/>
      <c r="D9" s="99" t="s">
        <v>40</v>
      </c>
      <c r="E9" s="100"/>
      <c r="F9" s="101" t="s">
        <v>1</v>
      </c>
      <c r="G9" s="101"/>
      <c r="H9" s="101"/>
      <c r="I9" s="60" t="s">
        <v>4</v>
      </c>
      <c r="J9" s="102" t="s">
        <v>43</v>
      </c>
      <c r="K9" s="103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"/>
      <c r="AB9" s="1">
        <f>ROUND(AB8,5)</f>
        <v>144.36207999999999</v>
      </c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45" ht="16.5" customHeight="1" thickBot="1" x14ac:dyDescent="0.2">
      <c r="B10" s="63"/>
      <c r="C10" s="64"/>
      <c r="D10" s="65" t="s">
        <v>38</v>
      </c>
      <c r="E10" s="66" t="s">
        <v>39</v>
      </c>
      <c r="F10" s="67" t="s">
        <v>7</v>
      </c>
      <c r="G10" s="68" t="s">
        <v>8</v>
      </c>
      <c r="H10" s="69" t="s">
        <v>9</v>
      </c>
      <c r="I10" s="70"/>
      <c r="J10" s="104" t="s">
        <v>15</v>
      </c>
      <c r="K10" s="72" t="s">
        <v>16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"/>
      <c r="AB10" s="1"/>
      <c r="AC10" s="1"/>
      <c r="AD10" s="1"/>
      <c r="AE10" s="1"/>
      <c r="AF10" s="1" t="s">
        <v>22</v>
      </c>
      <c r="AG10" s="1" t="s">
        <v>23</v>
      </c>
      <c r="AH10" s="1" t="s">
        <v>24</v>
      </c>
      <c r="AI10" s="1"/>
      <c r="AJ10" s="1" t="s">
        <v>25</v>
      </c>
      <c r="AK10" s="1"/>
      <c r="AL10" s="1"/>
      <c r="AM10" s="13" t="s">
        <v>10</v>
      </c>
      <c r="AN10" s="13" t="s">
        <v>17</v>
      </c>
      <c r="AO10" s="13" t="s">
        <v>11</v>
      </c>
      <c r="AP10" s="13" t="s">
        <v>12</v>
      </c>
    </row>
    <row r="11" spans="1:45" ht="17.25" customHeight="1" thickTop="1" x14ac:dyDescent="0.15">
      <c r="A11" s="47" t="str">
        <f>IF(AND($AE$6=4,AE11=4,AE12&lt;4),"★","")</f>
        <v/>
      </c>
      <c r="B11" s="105">
        <v>1</v>
      </c>
      <c r="C11" s="106" t="s">
        <v>28</v>
      </c>
      <c r="D11" s="107">
        <v>175042.82399999999</v>
      </c>
      <c r="E11" s="107">
        <v>-14077.42</v>
      </c>
      <c r="F11" s="108" t="s">
        <v>19</v>
      </c>
      <c r="G11" s="109" t="s">
        <v>19</v>
      </c>
      <c r="H11" s="110" t="s">
        <v>19</v>
      </c>
      <c r="I11" s="111" t="s">
        <v>20</v>
      </c>
      <c r="J11" s="108" t="s">
        <v>20</v>
      </c>
      <c r="K11" s="112" t="s">
        <v>20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"/>
      <c r="AB11" s="1"/>
      <c r="AC11" s="1"/>
      <c r="AD11" s="1"/>
      <c r="AE11" s="1">
        <f>SUM(AA12:AD12)</f>
        <v>4</v>
      </c>
      <c r="AF11" s="1">
        <f>IF(AND(AE11=4,AF12=0,AG12=0),-1,0)</f>
        <v>0</v>
      </c>
      <c r="AG11" s="1"/>
      <c r="AH11" s="26"/>
      <c r="AI11" s="27"/>
      <c r="AJ11" s="27"/>
      <c r="AK11" s="27"/>
      <c r="AL11" s="27"/>
      <c r="AM11" s="23"/>
      <c r="AN11" s="23"/>
      <c r="AO11" s="23"/>
      <c r="AP11" s="23"/>
      <c r="AQ11" s="23"/>
      <c r="AR11" s="23"/>
      <c r="AS11" s="16"/>
    </row>
    <row r="12" spans="1:45" ht="17.25" customHeight="1" x14ac:dyDescent="0.15">
      <c r="A12" s="47"/>
      <c r="B12" s="113"/>
      <c r="C12" s="114" t="s">
        <v>29</v>
      </c>
      <c r="D12" s="115">
        <v>175054.05600000001</v>
      </c>
      <c r="E12" s="115">
        <v>-14060.871999999999</v>
      </c>
      <c r="F12" s="116">
        <f>IF(AE12=4,INT(AI12),"")</f>
        <v>55</v>
      </c>
      <c r="G12" s="117">
        <f>IF(AE12=4,INT((AI12-F12)*60),"")</f>
        <v>49</v>
      </c>
      <c r="H12" s="118">
        <f>IF(AE12=4,(AI12-F12-G12/60)*3600,"")</f>
        <v>59.497577911640235</v>
      </c>
      <c r="I12" s="119">
        <f>IF(AE12=4,SQRT(AF12^2+AG12^2),"")</f>
        <v>19.999853199472003</v>
      </c>
      <c r="J12" s="120">
        <f>IF(AE12=4,AO12,"")</f>
        <v>175067.19988989807</v>
      </c>
      <c r="K12" s="121">
        <f>IF(AE12=4,AP12,"")</f>
        <v>-14041.507230588291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24">
        <f>IF(D11&lt;&gt;"",1,0)</f>
        <v>1</v>
      </c>
      <c r="AB12" s="24">
        <f>IF(E11&lt;&gt;"",1,0)</f>
        <v>1</v>
      </c>
      <c r="AC12" s="24">
        <f>IF(D12&lt;&gt;"",1,0)</f>
        <v>1</v>
      </c>
      <c r="AD12" s="24">
        <f>IF(E12&lt;&gt;"",1,0)</f>
        <v>1</v>
      </c>
      <c r="AE12" s="24">
        <f>$AE$6*AA12*AB12*AC12*AD12+AF11+AL12</f>
        <v>4</v>
      </c>
      <c r="AF12" s="25">
        <f>D12-D11</f>
        <v>11.232000000018161</v>
      </c>
      <c r="AG12" s="25">
        <f>E12-E11</f>
        <v>16.548000000000684</v>
      </c>
      <c r="AH12" s="1">
        <f>IF(AND(AE11=4,AF11=0),ATAN2(AF12,AG12)*180/PI(),0)</f>
        <v>55.833193771642122</v>
      </c>
      <c r="AI12" s="1">
        <f>IF(0&gt;=AH12,AH12+360,AH12)</f>
        <v>55.833193771642122</v>
      </c>
      <c r="AJ12" s="27">
        <f>ROUND(AI12,5)</f>
        <v>55.833190000000002</v>
      </c>
      <c r="AK12" s="1">
        <f>ABS($AB$9-AJ12)</f>
        <v>88.52888999999999</v>
      </c>
      <c r="AL12" s="1">
        <f>IF(OR(AK12=0,AK12=180),-1,0)</f>
        <v>0</v>
      </c>
      <c r="AM12" s="7">
        <f>TAN(AI12*PI()/180)</f>
        <v>1.4732905982882771</v>
      </c>
      <c r="AN12" s="23">
        <f>AM12-$AF$8</f>
        <v>2.1902218152200028</v>
      </c>
      <c r="AO12" s="23">
        <f>IF(OR($AB$8=90,$AB$8=270),$D$6,IF(OR(AI12=0,AI12=360,AI12=180),D11,(AM12*D11-$AF$8*$D$6+$E$6-E11)/AN12))</f>
        <v>175067.19988989807</v>
      </c>
      <c r="AP12" s="23">
        <f>IF(OR($AB$8=90,$AB$8=270),AM12*(AO12-D11)+E11,$AF$8*(AO12-$D$6)+$E$6)</f>
        <v>-14041.507230588291</v>
      </c>
      <c r="AQ12" s="23"/>
      <c r="AR12" s="23"/>
      <c r="AS12" s="16"/>
    </row>
    <row r="13" spans="1:45" ht="17.25" customHeight="1" x14ac:dyDescent="0.15">
      <c r="A13" s="47" t="str">
        <f>IF(AND($AE$6=4,AE13=4,AE14&lt;4),"★","")</f>
        <v/>
      </c>
      <c r="B13" s="122">
        <v>2</v>
      </c>
      <c r="C13" s="123" t="s">
        <v>28</v>
      </c>
      <c r="D13" s="124">
        <v>175058.28400000001</v>
      </c>
      <c r="E13" s="124">
        <v>-14040.286</v>
      </c>
      <c r="F13" s="125" t="s">
        <v>18</v>
      </c>
      <c r="G13" s="126" t="s">
        <v>18</v>
      </c>
      <c r="H13" s="127" t="s">
        <v>18</v>
      </c>
      <c r="I13" s="128" t="s">
        <v>14</v>
      </c>
      <c r="J13" s="125" t="s">
        <v>14</v>
      </c>
      <c r="K13" s="129" t="s">
        <v>14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"/>
      <c r="AB13" s="1"/>
      <c r="AC13" s="1"/>
      <c r="AD13" s="1"/>
      <c r="AE13" s="1">
        <f>SUM(AA14:AD14)</f>
        <v>4</v>
      </c>
      <c r="AF13" s="1">
        <f>IF(AND(AE13=4,AF14=0,AG14=0),-1,0)</f>
        <v>0</v>
      </c>
      <c r="AG13" s="1"/>
      <c r="AH13" s="26"/>
      <c r="AI13" s="27"/>
      <c r="AJ13" s="27"/>
      <c r="AK13" s="27"/>
      <c r="AL13" s="27"/>
      <c r="AM13" s="23"/>
      <c r="AN13" s="23"/>
      <c r="AO13" s="23"/>
      <c r="AP13" s="23"/>
      <c r="AQ13" s="23"/>
      <c r="AR13" s="23"/>
      <c r="AS13" s="16"/>
    </row>
    <row r="14" spans="1:45" ht="17.25" customHeight="1" x14ac:dyDescent="0.15">
      <c r="A14" s="47"/>
      <c r="B14" s="113"/>
      <c r="C14" s="114" t="s">
        <v>29</v>
      </c>
      <c r="D14" s="130">
        <v>175070.63399999999</v>
      </c>
      <c r="E14" s="130">
        <v>-14042.552</v>
      </c>
      <c r="F14" s="116">
        <f>IF(AE14=4,INT(AI14),"")</f>
        <v>349</v>
      </c>
      <c r="G14" s="117">
        <f>IF(AE14=4,INT((AI14-F14)*60),"")</f>
        <v>36</v>
      </c>
      <c r="H14" s="118">
        <f>IF(AE14=4,(AI14-F14-G14/60)*3600,"")</f>
        <v>10.488730247734646</v>
      </c>
      <c r="I14" s="119">
        <f>IF(AE14=4,SQRT(AF14^2+AG14^2),"")</f>
        <v>12.556164063894004</v>
      </c>
      <c r="J14" s="120">
        <f>IF(AE14=4,AO14,"")</f>
        <v>175067.97723212608</v>
      </c>
      <c r="K14" s="121">
        <f>IF(AE14=4,AP14,"")</f>
        <v>-14042.064531497796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24">
        <f>IF(D13&lt;&gt;"",1,0)</f>
        <v>1</v>
      </c>
      <c r="AB14" s="24">
        <f>IF(E13&lt;&gt;"",1,0)</f>
        <v>1</v>
      </c>
      <c r="AC14" s="24">
        <f>IF(D14&lt;&gt;"",1,0)</f>
        <v>1</v>
      </c>
      <c r="AD14" s="24">
        <f>IF(E14&lt;&gt;"",1,0)</f>
        <v>1</v>
      </c>
      <c r="AE14" s="24">
        <f>$AE$6*AA14*AB14*AC14*AD14+AF13+AL14</f>
        <v>4</v>
      </c>
      <c r="AF14" s="25">
        <f>D14-D13</f>
        <v>12.349999999976717</v>
      </c>
      <c r="AG14" s="25">
        <f>E14-E13</f>
        <v>-2.2659999999996217</v>
      </c>
      <c r="AH14" s="1">
        <f>IF(AND(AE13=4,AF13=0),ATAN2(AF14,AG14)*180/PI(),0)</f>
        <v>-10.397086463820097</v>
      </c>
      <c r="AI14" s="1">
        <f>IF(0&gt;=AH14,AH14+360,AH14)</f>
        <v>349.60291353617993</v>
      </c>
      <c r="AJ14" s="27">
        <f>ROUND(AI14,5)</f>
        <v>349.60291000000001</v>
      </c>
      <c r="AK14" s="1">
        <f>ABS($AB$9-AJ14)</f>
        <v>205.24083000000002</v>
      </c>
      <c r="AL14" s="1">
        <f>IF(OR(AK14=0,AK14=180),-1,0)</f>
        <v>0</v>
      </c>
      <c r="AM14" s="7">
        <f>TAN(AI14*PI()/180)</f>
        <v>-0.18348178137683344</v>
      </c>
      <c r="AN14" s="23">
        <f>AM14-$AF$8</f>
        <v>0.53344943555489233</v>
      </c>
      <c r="AO14" s="23">
        <f>IF(OR($AB$8=90,$AB$8=270),$D$6,IF(OR(AI14=0,AI14=360,AI14=180),D13,(AM14*D13-$AF$8*$D$6+$E$6-E13)/AN14))</f>
        <v>175067.97723212608</v>
      </c>
      <c r="AP14" s="23">
        <f>IF(OR($AB$8=90,$AB$8=270),AM14*(AO14-D13)+E13,$AF$8*(AO14-$D$6)+$E$6)</f>
        <v>-14042.064531497796</v>
      </c>
      <c r="AQ14" s="23"/>
      <c r="AR14" s="23"/>
      <c r="AS14" s="16"/>
    </row>
    <row r="15" spans="1:45" ht="17.25" customHeight="1" x14ac:dyDescent="0.15">
      <c r="A15" s="47" t="str">
        <f>IF(AND($AE$6=4,AE15=4,AE16&lt;4),"★","")</f>
        <v/>
      </c>
      <c r="B15" s="122">
        <v>3</v>
      </c>
      <c r="C15" s="123" t="s">
        <v>28</v>
      </c>
      <c r="D15" s="124">
        <v>175087.84</v>
      </c>
      <c r="E15" s="124">
        <v>-14036.945</v>
      </c>
      <c r="F15" s="125" t="s">
        <v>18</v>
      </c>
      <c r="G15" s="126" t="s">
        <v>18</v>
      </c>
      <c r="H15" s="127" t="s">
        <v>18</v>
      </c>
      <c r="I15" s="128" t="s">
        <v>14</v>
      </c>
      <c r="J15" s="125" t="s">
        <v>14</v>
      </c>
      <c r="K15" s="129" t="s">
        <v>14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"/>
      <c r="AB15" s="1"/>
      <c r="AC15" s="1"/>
      <c r="AD15" s="1"/>
      <c r="AE15" s="1">
        <f>SUM(AA16:AD16)</f>
        <v>4</v>
      </c>
      <c r="AF15" s="1">
        <f>IF(AND(AE15=4,AF16=0,AG16=0),-1,0)</f>
        <v>0</v>
      </c>
      <c r="AG15" s="1"/>
      <c r="AH15" s="26"/>
      <c r="AI15" s="27"/>
      <c r="AJ15" s="27"/>
      <c r="AK15" s="27"/>
      <c r="AL15" s="27"/>
      <c r="AM15" s="23"/>
      <c r="AN15" s="23"/>
      <c r="AO15" s="23"/>
      <c r="AP15" s="23"/>
      <c r="AQ15" s="23"/>
      <c r="AR15" s="16"/>
      <c r="AS15" s="16"/>
    </row>
    <row r="16" spans="1:45" ht="17.25" customHeight="1" x14ac:dyDescent="0.15">
      <c r="A16" s="47"/>
      <c r="B16" s="113"/>
      <c r="C16" s="114" t="s">
        <v>29</v>
      </c>
      <c r="D16" s="130">
        <v>175077.617</v>
      </c>
      <c r="E16" s="130">
        <v>-14032.370999999999</v>
      </c>
      <c r="F16" s="116">
        <f>IF(AE16=4,INT(AI16),"")</f>
        <v>155</v>
      </c>
      <c r="G16" s="117">
        <f>IF(AE16=4,INT((AI16-F16)*60),"")</f>
        <v>53</v>
      </c>
      <c r="H16" s="118">
        <f>IF(AE16=4,(AI16-F16-G16/60)*3600,"")</f>
        <v>42.665226020149127</v>
      </c>
      <c r="I16" s="119">
        <f>IF(AE16=4,SQRT(AF16^2+AG16^2),"")</f>
        <v>11.199607359187496</v>
      </c>
      <c r="J16" s="120">
        <f>IF(AE16=4,AO16,"")</f>
        <v>175016.00644844223</v>
      </c>
      <c r="K16" s="121">
        <f>IF(AE16=4,AP16,"")</f>
        <v>-14004.805054306436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24">
        <f>IF(D15&lt;&gt;"",1,0)</f>
        <v>1</v>
      </c>
      <c r="AB16" s="24">
        <f>IF(E15&lt;&gt;"",1,0)</f>
        <v>1</v>
      </c>
      <c r="AC16" s="24">
        <f>IF(D16&lt;&gt;"",1,0)</f>
        <v>1</v>
      </c>
      <c r="AD16" s="24">
        <f>IF(E16&lt;&gt;"",1,0)</f>
        <v>1</v>
      </c>
      <c r="AE16" s="24">
        <f>$AE$6*AA16*AB16*AC16*AD16+AF15+AL16</f>
        <v>4</v>
      </c>
      <c r="AF16" s="25">
        <f>D16-D15</f>
        <v>-10.222999999998137</v>
      </c>
      <c r="AG16" s="25">
        <f>E16-E15</f>
        <v>4.5740000000005239</v>
      </c>
      <c r="AH16" s="1">
        <f>IF(AND(AE15=4,AF15=0),ATAN2(AF16,AG16)*180/PI(),0)</f>
        <v>155.8951847850056</v>
      </c>
      <c r="AI16" s="1">
        <f>IF(0&gt;=AH16,AH16+360,AH16)</f>
        <v>155.8951847850056</v>
      </c>
      <c r="AJ16" s="27">
        <f>ROUND(AI16,5)</f>
        <v>155.89518000000001</v>
      </c>
      <c r="AK16" s="1">
        <f>ABS($AB$9-AJ16)</f>
        <v>11.533100000000019</v>
      </c>
      <c r="AL16" s="1">
        <f>IF(OR(AK16=0,AK16=180),-1,0)</f>
        <v>0</v>
      </c>
      <c r="AM16" s="7">
        <f>TAN(AI16*PI()/180)</f>
        <v>-0.44742247872457763</v>
      </c>
      <c r="AN16" s="23">
        <f>AM16-$AF$8</f>
        <v>0.26950873820714816</v>
      </c>
      <c r="AO16" s="23">
        <f>IF(OR($AB$8=90,$AB$8=270),$D$6,IF(OR(AI16=0,AI16=360,AI16=180),D15,(AM16*D15-$AF$8*$D$6+$E$6-E15)/AN16))</f>
        <v>175016.00644844223</v>
      </c>
      <c r="AP16" s="23">
        <f>IF(OR($AB$8=90,$AB$8=270),AM16*(AO16-D15)+E15,$AF$8*(AO16-$D$6)+$E$6)</f>
        <v>-14004.805054306436</v>
      </c>
      <c r="AQ16" s="23"/>
      <c r="AR16" s="16"/>
      <c r="AS16" s="16"/>
    </row>
    <row r="17" spans="1:45" ht="17.25" customHeight="1" x14ac:dyDescent="0.15">
      <c r="A17" s="47" t="str">
        <f>IF(AND($AE$6=4,AE17=4,AE18&lt;4),"★","")</f>
        <v/>
      </c>
      <c r="B17" s="122">
        <v>4</v>
      </c>
      <c r="C17" s="123" t="s">
        <v>28</v>
      </c>
      <c r="D17" s="124"/>
      <c r="E17" s="124"/>
      <c r="F17" s="125" t="s">
        <v>18</v>
      </c>
      <c r="G17" s="126" t="s">
        <v>18</v>
      </c>
      <c r="H17" s="127" t="s">
        <v>18</v>
      </c>
      <c r="I17" s="128" t="s">
        <v>14</v>
      </c>
      <c r="J17" s="125" t="s">
        <v>14</v>
      </c>
      <c r="K17" s="129" t="s">
        <v>14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"/>
      <c r="AB17" s="1"/>
      <c r="AC17" s="1"/>
      <c r="AD17" s="1"/>
      <c r="AE17" s="1">
        <f>SUM(AA18:AD18)</f>
        <v>0</v>
      </c>
      <c r="AF17" s="1">
        <f>IF(AND(AE17=4,AF18=0,AG18=0),-1,0)</f>
        <v>0</v>
      </c>
      <c r="AG17" s="1"/>
      <c r="AH17" s="26"/>
      <c r="AI17" s="27"/>
      <c r="AJ17" s="27"/>
      <c r="AK17" s="27"/>
      <c r="AL17" s="27"/>
      <c r="AM17" s="23"/>
      <c r="AN17" s="23"/>
      <c r="AO17" s="23"/>
      <c r="AP17" s="23"/>
      <c r="AR17" s="16"/>
      <c r="AS17" s="16"/>
    </row>
    <row r="18" spans="1:45" ht="17.25" customHeight="1" x14ac:dyDescent="0.15">
      <c r="A18" s="47"/>
      <c r="B18" s="113"/>
      <c r="C18" s="114" t="s">
        <v>29</v>
      </c>
      <c r="D18" s="130"/>
      <c r="E18" s="130"/>
      <c r="F18" s="116" t="str">
        <f>IF(AE18=4,INT(AI18),"")</f>
        <v/>
      </c>
      <c r="G18" s="117" t="str">
        <f>IF(AE18=4,INT((AI18-F18)*60),"")</f>
        <v/>
      </c>
      <c r="H18" s="118" t="str">
        <f>IF(AE18=4,(AI18-F18-G18/60)*3600,"")</f>
        <v/>
      </c>
      <c r="I18" s="119" t="str">
        <f>IF(AE18=4,SQRT(AF18^2+AG18^2),"")</f>
        <v/>
      </c>
      <c r="J18" s="120" t="str">
        <f>IF(AE18=4,AO18,"")</f>
        <v/>
      </c>
      <c r="K18" s="121" t="str">
        <f>IF(AE18=4,AP18,"")</f>
        <v/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24">
        <f>IF(D17&lt;&gt;"",1,0)</f>
        <v>0</v>
      </c>
      <c r="AB18" s="24">
        <f>IF(E17&lt;&gt;"",1,0)</f>
        <v>0</v>
      </c>
      <c r="AC18" s="24">
        <f>IF(D18&lt;&gt;"",1,0)</f>
        <v>0</v>
      </c>
      <c r="AD18" s="24">
        <f>IF(E18&lt;&gt;"",1,0)</f>
        <v>0</v>
      </c>
      <c r="AE18" s="24">
        <f>$AE$6*AA18*AB18*AC18*AD18+AF17+AL18</f>
        <v>0</v>
      </c>
      <c r="AF18" s="25">
        <f>D18-D17</f>
        <v>0</v>
      </c>
      <c r="AG18" s="25">
        <f>E18-E17</f>
        <v>0</v>
      </c>
      <c r="AH18" s="1">
        <f>IF(AND(AE17=4,AF17=0),ATAN2(AF18,AG18)*180/PI(),0)</f>
        <v>0</v>
      </c>
      <c r="AI18" s="1">
        <f>IF(0&gt;=AH18,AH18+360,AH18)</f>
        <v>360</v>
      </c>
      <c r="AJ18" s="27">
        <f>ROUND(AI18,5)</f>
        <v>360</v>
      </c>
      <c r="AK18" s="1">
        <f>ABS($AB$9-AJ18)</f>
        <v>215.63792000000001</v>
      </c>
      <c r="AL18" s="1">
        <f>IF(OR(AK18=0,AK18=180),-1,0)</f>
        <v>0</v>
      </c>
      <c r="AM18" s="7">
        <f>TAN(AI18*PI()/180)</f>
        <v>-2.45029690981724E-16</v>
      </c>
      <c r="AN18" s="23">
        <f>AM18-$AF$8</f>
        <v>0.71693121693172557</v>
      </c>
      <c r="AO18" s="23">
        <f>IF(OR($AB$8=90,$AB$8=270),$D$6,IF(OR(AI18=0,AI18=360,AI18=180),D17,(AM18*D17-$AF$8*$D$6+$E$6-E17)/AN18))</f>
        <v>0</v>
      </c>
      <c r="AP18" s="23">
        <f>IF(OR($AB$8=90,$AB$8=270),AM18*(AO18-D17)+E17,$AF$8*(AO18-$D$6)+$E$6)</f>
        <v>111469.63343130602</v>
      </c>
      <c r="AR18" s="16"/>
      <c r="AS18" s="16"/>
    </row>
    <row r="19" spans="1:45" ht="17.25" customHeight="1" x14ac:dyDescent="0.15">
      <c r="A19" s="47" t="str">
        <f>IF(AND($AE$6=4,AE19=4,AE20&lt;4),"★","")</f>
        <v/>
      </c>
      <c r="B19" s="122">
        <v>5</v>
      </c>
      <c r="C19" s="123" t="s">
        <v>28</v>
      </c>
      <c r="D19" s="124"/>
      <c r="E19" s="124"/>
      <c r="F19" s="125" t="s">
        <v>18</v>
      </c>
      <c r="G19" s="126" t="s">
        <v>18</v>
      </c>
      <c r="H19" s="127" t="s">
        <v>18</v>
      </c>
      <c r="I19" s="128" t="s">
        <v>14</v>
      </c>
      <c r="J19" s="125" t="s">
        <v>14</v>
      </c>
      <c r="K19" s="129" t="s">
        <v>14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"/>
      <c r="AB19" s="1"/>
      <c r="AC19" s="1"/>
      <c r="AD19" s="1"/>
      <c r="AE19" s="1">
        <f>SUM(AA20:AD20)</f>
        <v>0</v>
      </c>
      <c r="AF19" s="1">
        <f>IF(AND(AE19=4,AF20=0,AG20=0),-1,0)</f>
        <v>0</v>
      </c>
      <c r="AG19" s="1"/>
      <c r="AH19" s="26"/>
      <c r="AI19" s="27"/>
      <c r="AJ19" s="27"/>
      <c r="AK19" s="27"/>
      <c r="AL19" s="27"/>
      <c r="AM19" s="23"/>
      <c r="AN19" s="23"/>
      <c r="AO19" s="23"/>
      <c r="AP19" s="23"/>
      <c r="AR19" s="16"/>
      <c r="AS19" s="16"/>
    </row>
    <row r="20" spans="1:45" ht="17.25" customHeight="1" x14ac:dyDescent="0.15">
      <c r="A20" s="47"/>
      <c r="B20" s="113"/>
      <c r="C20" s="114" t="s">
        <v>29</v>
      </c>
      <c r="D20" s="130"/>
      <c r="E20" s="130"/>
      <c r="F20" s="116" t="str">
        <f>IF(AE20=4,INT(AI20),"")</f>
        <v/>
      </c>
      <c r="G20" s="117" t="str">
        <f>IF(AE20=4,INT((AI20-F20)*60),"")</f>
        <v/>
      </c>
      <c r="H20" s="118" t="str">
        <f>IF(AE20=4,(AI20-F20-G20/60)*3600,"")</f>
        <v/>
      </c>
      <c r="I20" s="119" t="str">
        <f>IF(AE20=4,SQRT(AF20^2+AG20^2),"")</f>
        <v/>
      </c>
      <c r="J20" s="120" t="str">
        <f>IF(AE20=4,AO20,"")</f>
        <v/>
      </c>
      <c r="K20" s="121" t="str">
        <f>IF(AE20=4,AP20,"")</f>
        <v/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24">
        <f>IF(D19&lt;&gt;"",1,0)</f>
        <v>0</v>
      </c>
      <c r="AB20" s="24">
        <f>IF(E19&lt;&gt;"",1,0)</f>
        <v>0</v>
      </c>
      <c r="AC20" s="24">
        <f>IF(D20&lt;&gt;"",1,0)</f>
        <v>0</v>
      </c>
      <c r="AD20" s="24">
        <f>IF(E20&lt;&gt;"",1,0)</f>
        <v>0</v>
      </c>
      <c r="AE20" s="24">
        <f>$AE$6*AA20*AB20*AC20*AD20+AF19+AL20</f>
        <v>0</v>
      </c>
      <c r="AF20" s="25">
        <f>D20-D19</f>
        <v>0</v>
      </c>
      <c r="AG20" s="25">
        <f>E20-E19</f>
        <v>0</v>
      </c>
      <c r="AH20" s="1">
        <f>IF(AND(AE19=4,AF19=0),ATAN2(AF20,AG20)*180/PI(),0)</f>
        <v>0</v>
      </c>
      <c r="AI20" s="1">
        <f>IF(0&gt;=AH20,AH20+360,AH20)</f>
        <v>360</v>
      </c>
      <c r="AJ20" s="27">
        <f>ROUND(AI20,5)</f>
        <v>360</v>
      </c>
      <c r="AK20" s="1">
        <f>ABS($AB$9-AJ20)</f>
        <v>215.63792000000001</v>
      </c>
      <c r="AL20" s="1">
        <f>IF(OR(AK20=0,AK20=180),-1,0)</f>
        <v>0</v>
      </c>
      <c r="AM20" s="7">
        <f>TAN(AI20*PI()/180)</f>
        <v>-2.45029690981724E-16</v>
      </c>
      <c r="AN20" s="23">
        <f>AM20-$AF$8</f>
        <v>0.71693121693172557</v>
      </c>
      <c r="AO20" s="23">
        <f>IF(OR($AB$8=90,$AB$8=270),$D$6,IF(OR(AI20=0,AI20=360,AI20=180),D19,(AM20*D19-$AF$8*$D$6+$E$6-E19)/AN20))</f>
        <v>0</v>
      </c>
      <c r="AP20" s="23">
        <f>IF(OR($AB$8=90,$AB$8=270),AM20*(AO20-D19)+E19,$AF$8*(AO20-$D$6)+$E$6)</f>
        <v>111469.63343130602</v>
      </c>
      <c r="AR20" s="16"/>
      <c r="AS20" s="16"/>
    </row>
    <row r="21" spans="1:45" ht="17.25" customHeight="1" x14ac:dyDescent="0.15">
      <c r="A21" s="47" t="str">
        <f>IF(AND($AE$6=4,AE21=4,AE22&lt;4),"★","")</f>
        <v/>
      </c>
      <c r="B21" s="122">
        <v>6</v>
      </c>
      <c r="C21" s="123" t="s">
        <v>28</v>
      </c>
      <c r="D21" s="124"/>
      <c r="E21" s="124"/>
      <c r="F21" s="125" t="s">
        <v>18</v>
      </c>
      <c r="G21" s="126" t="s">
        <v>18</v>
      </c>
      <c r="H21" s="127" t="s">
        <v>18</v>
      </c>
      <c r="I21" s="128" t="s">
        <v>14</v>
      </c>
      <c r="J21" s="125" t="s">
        <v>14</v>
      </c>
      <c r="K21" s="129" t="s">
        <v>14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"/>
      <c r="AB21" s="1"/>
      <c r="AC21" s="1"/>
      <c r="AD21" s="1"/>
      <c r="AE21" s="1">
        <f>SUM(AA22:AD22)</f>
        <v>0</v>
      </c>
      <c r="AF21" s="1">
        <f>IF(AND(AE21=4,AF22=0,AG22=0),-1,0)</f>
        <v>0</v>
      </c>
      <c r="AG21" s="1"/>
      <c r="AH21" s="26"/>
      <c r="AI21" s="27"/>
      <c r="AJ21" s="27"/>
      <c r="AK21" s="27"/>
      <c r="AL21" s="27"/>
      <c r="AM21" s="23"/>
      <c r="AN21" s="23"/>
      <c r="AO21" s="23"/>
      <c r="AP21" s="23"/>
      <c r="AR21" s="16"/>
      <c r="AS21" s="16"/>
    </row>
    <row r="22" spans="1:45" ht="17.25" customHeight="1" x14ac:dyDescent="0.15">
      <c r="A22" s="47"/>
      <c r="B22" s="113"/>
      <c r="C22" s="114" t="s">
        <v>29</v>
      </c>
      <c r="D22" s="130"/>
      <c r="E22" s="130"/>
      <c r="F22" s="116" t="str">
        <f>IF(AE22=4,INT(AI22),"")</f>
        <v/>
      </c>
      <c r="G22" s="117" t="str">
        <f>IF(AE22=4,INT((AI22-F22)*60),"")</f>
        <v/>
      </c>
      <c r="H22" s="118" t="str">
        <f>IF(AE22=4,(AI22-F22-G22/60)*3600,"")</f>
        <v/>
      </c>
      <c r="I22" s="119" t="str">
        <f>IF(AE22=4,SQRT(AF22^2+AG22^2),"")</f>
        <v/>
      </c>
      <c r="J22" s="120" t="str">
        <f>IF(AE22=4,AO22,"")</f>
        <v/>
      </c>
      <c r="K22" s="121" t="str">
        <f>IF(AE22=4,AP22,"")</f>
        <v/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24">
        <f>IF(D21&lt;&gt;"",1,0)</f>
        <v>0</v>
      </c>
      <c r="AB22" s="24">
        <f>IF(E21&lt;&gt;"",1,0)</f>
        <v>0</v>
      </c>
      <c r="AC22" s="24">
        <f>IF(D22&lt;&gt;"",1,0)</f>
        <v>0</v>
      </c>
      <c r="AD22" s="24">
        <f>IF(E22&lt;&gt;"",1,0)</f>
        <v>0</v>
      </c>
      <c r="AE22" s="24">
        <f>$AE$6*AA22*AB22*AC22*AD22+AF21+AL22</f>
        <v>0</v>
      </c>
      <c r="AF22" s="25">
        <f>D22-D21</f>
        <v>0</v>
      </c>
      <c r="AG22" s="25">
        <f>E22-E21</f>
        <v>0</v>
      </c>
      <c r="AH22" s="1">
        <f>IF(AND(AE21=4,AF21=0),ATAN2(AF22,AG22)*180/PI(),0)</f>
        <v>0</v>
      </c>
      <c r="AI22" s="1">
        <f>IF(0&gt;=AH22,AH22+360,AH22)</f>
        <v>360</v>
      </c>
      <c r="AJ22" s="27">
        <f>ROUND(AI22,5)</f>
        <v>360</v>
      </c>
      <c r="AK22" s="1">
        <f>ABS($AB$9-AJ22)</f>
        <v>215.63792000000001</v>
      </c>
      <c r="AL22" s="1">
        <f>IF(OR(AK22=0,AK22=180),-1,0)</f>
        <v>0</v>
      </c>
      <c r="AM22" s="7">
        <f>TAN(AI22*PI()/180)</f>
        <v>-2.45029690981724E-16</v>
      </c>
      <c r="AN22" s="23">
        <f>AM22-$AF$8</f>
        <v>0.71693121693172557</v>
      </c>
      <c r="AO22" s="23">
        <f>IF(OR($AB$8=90,$AB$8=270),$D$6,IF(OR(AI22=0,AI22=360,AI22=180),D21,(AM22*D21-$AF$8*$D$6+$E$6-E21)/AN22))</f>
        <v>0</v>
      </c>
      <c r="AP22" s="23">
        <f>IF(OR($AB$8=90,$AB$8=270),AM22*(AO22-D21)+E21,$AF$8*(AO22-$D$6)+$E$6)</f>
        <v>111469.63343130602</v>
      </c>
      <c r="AR22" s="16"/>
      <c r="AS22" s="16"/>
    </row>
    <row r="23" spans="1:45" ht="17.25" customHeight="1" x14ac:dyDescent="0.15">
      <c r="A23" s="47" t="str">
        <f>IF(AND($AE$6=4,AE23=4,AE24&lt;4),"★","")</f>
        <v/>
      </c>
      <c r="B23" s="122">
        <v>7</v>
      </c>
      <c r="C23" s="123" t="s">
        <v>28</v>
      </c>
      <c r="D23" s="124"/>
      <c r="E23" s="124"/>
      <c r="F23" s="125" t="s">
        <v>18</v>
      </c>
      <c r="G23" s="126" t="s">
        <v>18</v>
      </c>
      <c r="H23" s="127" t="s">
        <v>18</v>
      </c>
      <c r="I23" s="128" t="s">
        <v>14</v>
      </c>
      <c r="J23" s="125" t="s">
        <v>14</v>
      </c>
      <c r="K23" s="129" t="s">
        <v>14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"/>
      <c r="AB23" s="1"/>
      <c r="AC23" s="1"/>
      <c r="AD23" s="1"/>
      <c r="AE23" s="1">
        <f>SUM(AA24:AD24)</f>
        <v>0</v>
      </c>
      <c r="AF23" s="1">
        <f>IF(AND(AE23=4,AF24=0,AG24=0),-1,0)</f>
        <v>0</v>
      </c>
      <c r="AG23" s="1"/>
      <c r="AH23" s="26"/>
      <c r="AI23" s="27"/>
      <c r="AJ23" s="27"/>
      <c r="AK23" s="27"/>
      <c r="AL23" s="27"/>
      <c r="AM23" s="23"/>
      <c r="AN23" s="23"/>
      <c r="AO23" s="23"/>
      <c r="AP23" s="23"/>
      <c r="AR23" s="16"/>
      <c r="AS23" s="16"/>
    </row>
    <row r="24" spans="1:45" ht="17.25" customHeight="1" x14ac:dyDescent="0.15">
      <c r="A24" s="47"/>
      <c r="B24" s="113"/>
      <c r="C24" s="114" t="s">
        <v>29</v>
      </c>
      <c r="D24" s="130"/>
      <c r="E24" s="130"/>
      <c r="F24" s="116" t="str">
        <f>IF(AE24=4,INT(AI24),"")</f>
        <v/>
      </c>
      <c r="G24" s="117" t="str">
        <f>IF(AE24=4,INT((AI24-F24)*60),"")</f>
        <v/>
      </c>
      <c r="H24" s="118" t="str">
        <f>IF(AE24=4,(AI24-F24-G24/60)*3600,"")</f>
        <v/>
      </c>
      <c r="I24" s="119" t="str">
        <f>IF(AE24=4,SQRT(AF24^2+AG24^2),"")</f>
        <v/>
      </c>
      <c r="J24" s="120" t="str">
        <f>IF(AE24=4,AO24,"")</f>
        <v/>
      </c>
      <c r="K24" s="121" t="str">
        <f>IF(AE24=4,AP24,"")</f>
        <v/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24">
        <f>IF(D23&lt;&gt;"",1,0)</f>
        <v>0</v>
      </c>
      <c r="AB24" s="24">
        <f>IF(E23&lt;&gt;"",1,0)</f>
        <v>0</v>
      </c>
      <c r="AC24" s="24">
        <f>IF(D24&lt;&gt;"",1,0)</f>
        <v>0</v>
      </c>
      <c r="AD24" s="24">
        <f>IF(E24&lt;&gt;"",1,0)</f>
        <v>0</v>
      </c>
      <c r="AE24" s="24">
        <f>$AE$6*AA24*AB24*AC24*AD24+AF23+AL24</f>
        <v>0</v>
      </c>
      <c r="AF24" s="25">
        <f>D24-D23</f>
        <v>0</v>
      </c>
      <c r="AG24" s="25">
        <f>E24-E23</f>
        <v>0</v>
      </c>
      <c r="AH24" s="1">
        <f>IF(AND(AE23=4,AF23=0),ATAN2(AF24,AG24)*180/PI(),0)</f>
        <v>0</v>
      </c>
      <c r="AI24" s="1">
        <f>IF(0&gt;=AH24,AH24+360,AH24)</f>
        <v>360</v>
      </c>
      <c r="AJ24" s="27">
        <f>ROUND(AI24,5)</f>
        <v>360</v>
      </c>
      <c r="AK24" s="1">
        <f>ABS($AB$9-AJ24)</f>
        <v>215.63792000000001</v>
      </c>
      <c r="AL24" s="1">
        <f>IF(OR(AK24=0,AK24=180),-1,0)</f>
        <v>0</v>
      </c>
      <c r="AM24" s="7">
        <f>TAN(AI24*PI()/180)</f>
        <v>-2.45029690981724E-16</v>
      </c>
      <c r="AN24" s="23">
        <f>AM24-$AF$8</f>
        <v>0.71693121693172557</v>
      </c>
      <c r="AO24" s="23">
        <f>IF(OR($AB$8=90,$AB$8=270),$D$6,IF(OR(AI24=0,AI24=360,AI24=180),D23,(AM24*D23-$AF$8*$D$6+$E$6-E23)/AN24))</f>
        <v>0</v>
      </c>
      <c r="AP24" s="23">
        <f>IF(OR($AB$8=90,$AB$8=270),AM24*(AO24-D23)+E23,$AF$8*(AO24-$D$6)+$E$6)</f>
        <v>111469.63343130602</v>
      </c>
      <c r="AR24" s="16"/>
      <c r="AS24" s="16"/>
    </row>
    <row r="25" spans="1:45" ht="17.25" customHeight="1" x14ac:dyDescent="0.15">
      <c r="A25" s="47" t="str">
        <f>IF(AND($AE$6=4,AE25=4,AE26&lt;4),"★","")</f>
        <v/>
      </c>
      <c r="B25" s="122">
        <v>8</v>
      </c>
      <c r="C25" s="123" t="s">
        <v>28</v>
      </c>
      <c r="D25" s="124"/>
      <c r="E25" s="124"/>
      <c r="F25" s="125" t="s">
        <v>18</v>
      </c>
      <c r="G25" s="126" t="s">
        <v>18</v>
      </c>
      <c r="H25" s="127" t="s">
        <v>18</v>
      </c>
      <c r="I25" s="128" t="s">
        <v>14</v>
      </c>
      <c r="J25" s="125" t="s">
        <v>14</v>
      </c>
      <c r="K25" s="129" t="s">
        <v>14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"/>
      <c r="AB25" s="1"/>
      <c r="AC25" s="1"/>
      <c r="AD25" s="1"/>
      <c r="AE25" s="1">
        <f>SUM(AA26:AD26)</f>
        <v>0</v>
      </c>
      <c r="AF25" s="1">
        <f>IF(AND(AE25=4,AF26=0,AG26=0),-1,0)</f>
        <v>0</v>
      </c>
      <c r="AG25" s="1"/>
      <c r="AH25" s="26"/>
      <c r="AI25" s="27"/>
      <c r="AJ25" s="27"/>
      <c r="AK25" s="27"/>
      <c r="AL25" s="27"/>
      <c r="AM25" s="23"/>
      <c r="AN25" s="23"/>
      <c r="AO25" s="23"/>
      <c r="AP25" s="23"/>
      <c r="AR25" s="16"/>
      <c r="AS25" s="16"/>
    </row>
    <row r="26" spans="1:45" ht="17.25" customHeight="1" x14ac:dyDescent="0.15">
      <c r="A26" s="47"/>
      <c r="B26" s="113"/>
      <c r="C26" s="114" t="s">
        <v>29</v>
      </c>
      <c r="D26" s="130"/>
      <c r="E26" s="130"/>
      <c r="F26" s="116" t="str">
        <f>IF(AE26=4,INT(AI26),"")</f>
        <v/>
      </c>
      <c r="G26" s="117" t="str">
        <f>IF(AE26=4,INT((AI26-F26)*60),"")</f>
        <v/>
      </c>
      <c r="H26" s="118" t="str">
        <f>IF(AE26=4,(AI26-F26-G26/60)*3600,"")</f>
        <v/>
      </c>
      <c r="I26" s="119" t="str">
        <f>IF(AE26=4,SQRT(AF26^2+AG26^2),"")</f>
        <v/>
      </c>
      <c r="J26" s="120" t="str">
        <f>IF(AE26=4,AO26,"")</f>
        <v/>
      </c>
      <c r="K26" s="121" t="str">
        <f>IF(AE26=4,AP26,"")</f>
        <v/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24">
        <f>IF(D25&lt;&gt;"",1,0)</f>
        <v>0</v>
      </c>
      <c r="AB26" s="24">
        <f>IF(E25&lt;&gt;"",1,0)</f>
        <v>0</v>
      </c>
      <c r="AC26" s="24">
        <f>IF(D26&lt;&gt;"",1,0)</f>
        <v>0</v>
      </c>
      <c r="AD26" s="24">
        <f>IF(E26&lt;&gt;"",1,0)</f>
        <v>0</v>
      </c>
      <c r="AE26" s="24">
        <f>$AE$6*AA26*AB26*AC26*AD26+AF25+AL26</f>
        <v>0</v>
      </c>
      <c r="AF26" s="25">
        <f>D26-D25</f>
        <v>0</v>
      </c>
      <c r="AG26" s="25">
        <f>E26-E25</f>
        <v>0</v>
      </c>
      <c r="AH26" s="1">
        <f>IF(AND(AE25=4,AF25=0),ATAN2(AF26,AG26)*180/PI(),0)</f>
        <v>0</v>
      </c>
      <c r="AI26" s="1">
        <f>IF(0&gt;=AH26,AH26+360,AH26)</f>
        <v>360</v>
      </c>
      <c r="AJ26" s="27">
        <f>ROUND(AI26,5)</f>
        <v>360</v>
      </c>
      <c r="AK26" s="1">
        <f>ABS($AB$9-AJ26)</f>
        <v>215.63792000000001</v>
      </c>
      <c r="AL26" s="1">
        <f>IF(OR(AK26=0,AK26=180),-1,0)</f>
        <v>0</v>
      </c>
      <c r="AM26" s="7">
        <f>TAN(AI26*PI()/180)</f>
        <v>-2.45029690981724E-16</v>
      </c>
      <c r="AN26" s="23">
        <f>AM26-$AF$8</f>
        <v>0.71693121693172557</v>
      </c>
      <c r="AO26" s="23">
        <f>IF(OR($AB$8=90,$AB$8=270),$D$6,IF(OR(AI26=0,AI26=360,AI26=180),D25,(AM26*D25-$AF$8*$D$6+$E$6-E25)/AN26))</f>
        <v>0</v>
      </c>
      <c r="AP26" s="23">
        <f>IF(OR($AB$8=90,$AB$8=270),AM26*(AO26-D25)+E25,$AF$8*(AO26-$D$6)+$E$6)</f>
        <v>111469.63343130602</v>
      </c>
      <c r="AR26" s="16"/>
      <c r="AS26" s="16"/>
    </row>
    <row r="27" spans="1:45" ht="17.25" customHeight="1" x14ac:dyDescent="0.15">
      <c r="A27" s="47" t="str">
        <f>IF(AND($AE$6=4,AE27=4,AE28&lt;4),"★","")</f>
        <v/>
      </c>
      <c r="B27" s="122">
        <v>9</v>
      </c>
      <c r="C27" s="123" t="s">
        <v>28</v>
      </c>
      <c r="D27" s="124"/>
      <c r="E27" s="124"/>
      <c r="F27" s="125" t="s">
        <v>18</v>
      </c>
      <c r="G27" s="126" t="s">
        <v>18</v>
      </c>
      <c r="H27" s="127" t="s">
        <v>18</v>
      </c>
      <c r="I27" s="128" t="s">
        <v>14</v>
      </c>
      <c r="J27" s="125" t="s">
        <v>14</v>
      </c>
      <c r="K27" s="129" t="s">
        <v>14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"/>
      <c r="AB27" s="1"/>
      <c r="AC27" s="1"/>
      <c r="AD27" s="1"/>
      <c r="AE27" s="1">
        <f>SUM(AA28:AD28)</f>
        <v>0</v>
      </c>
      <c r="AF27" s="1">
        <f>IF(AND(AE27=4,AF28=0,AG28=0),-1,0)</f>
        <v>0</v>
      </c>
      <c r="AG27" s="1"/>
      <c r="AH27" s="26"/>
      <c r="AI27" s="27"/>
      <c r="AJ27" s="27"/>
      <c r="AK27" s="27"/>
      <c r="AL27" s="27"/>
      <c r="AM27" s="23"/>
      <c r="AN27" s="23"/>
      <c r="AO27" s="23"/>
      <c r="AP27" s="23"/>
      <c r="AR27" s="16"/>
      <c r="AS27" s="16"/>
    </row>
    <row r="28" spans="1:45" ht="17.25" customHeight="1" x14ac:dyDescent="0.15">
      <c r="A28" s="47"/>
      <c r="B28" s="113"/>
      <c r="C28" s="114" t="s">
        <v>29</v>
      </c>
      <c r="D28" s="130"/>
      <c r="E28" s="130"/>
      <c r="F28" s="116" t="str">
        <f>IF(AE28=4,INT(AI28),"")</f>
        <v/>
      </c>
      <c r="G28" s="117" t="str">
        <f>IF(AE28=4,INT((AI28-F28)*60),"")</f>
        <v/>
      </c>
      <c r="H28" s="118" t="str">
        <f>IF(AE28=4,(AI28-F28-G28/60)*3600,"")</f>
        <v/>
      </c>
      <c r="I28" s="119" t="str">
        <f>IF(AE28=4,SQRT(AF28^2+AG28^2),"")</f>
        <v/>
      </c>
      <c r="J28" s="120" t="str">
        <f>IF(AE28=4,AO28,"")</f>
        <v/>
      </c>
      <c r="K28" s="121" t="str">
        <f>IF(AE28=4,AP28,"")</f>
        <v/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24">
        <f>IF(D27&lt;&gt;"",1,0)</f>
        <v>0</v>
      </c>
      <c r="AB28" s="24">
        <f>IF(E27&lt;&gt;"",1,0)</f>
        <v>0</v>
      </c>
      <c r="AC28" s="24">
        <f>IF(D28&lt;&gt;"",1,0)</f>
        <v>0</v>
      </c>
      <c r="AD28" s="24">
        <f>IF(E28&lt;&gt;"",1,0)</f>
        <v>0</v>
      </c>
      <c r="AE28" s="24">
        <f>$AE$6*AA28*AB28*AC28*AD28+AF27+AL28</f>
        <v>0</v>
      </c>
      <c r="AF28" s="25">
        <f>D28-D27</f>
        <v>0</v>
      </c>
      <c r="AG28" s="25">
        <f>E28-E27</f>
        <v>0</v>
      </c>
      <c r="AH28" s="1">
        <f>IF(AND(AE27=4,AF27=0),ATAN2(AF28,AG28)*180/PI(),0)</f>
        <v>0</v>
      </c>
      <c r="AI28" s="1">
        <f>IF(0&gt;=AH28,AH28+360,AH28)</f>
        <v>360</v>
      </c>
      <c r="AJ28" s="27">
        <f>ROUND(AI28,5)</f>
        <v>360</v>
      </c>
      <c r="AK28" s="1">
        <f>ABS($AB$9-AJ28)</f>
        <v>215.63792000000001</v>
      </c>
      <c r="AL28" s="1">
        <f>IF(OR(AK28=0,AK28=180),-1,0)</f>
        <v>0</v>
      </c>
      <c r="AM28" s="7">
        <f>TAN(AI28*PI()/180)</f>
        <v>-2.45029690981724E-16</v>
      </c>
      <c r="AN28" s="23">
        <f>AM28-$AF$8</f>
        <v>0.71693121693172557</v>
      </c>
      <c r="AO28" s="23">
        <f>IF(OR($AB$8=90,$AB$8=270),$D$6,IF(OR(AI28=0,AI28=360,AI28=180),D27,(AM28*D27-$AF$8*$D$6+$E$6-E27)/AN28))</f>
        <v>0</v>
      </c>
      <c r="AP28" s="23">
        <f>IF(OR($AB$8=90,$AB$8=270),AM28*(AO28-D27)+E27,$AF$8*(AO28-$D$6)+$E$6)</f>
        <v>111469.63343130602</v>
      </c>
      <c r="AR28" s="16"/>
      <c r="AS28" s="16"/>
    </row>
    <row r="29" spans="1:45" ht="17.25" customHeight="1" x14ac:dyDescent="0.15">
      <c r="A29" s="47" t="str">
        <f>IF(AND($AE$6=4,AE29=4,AE30&lt;4),"★","")</f>
        <v/>
      </c>
      <c r="B29" s="122">
        <v>10</v>
      </c>
      <c r="C29" s="123" t="s">
        <v>28</v>
      </c>
      <c r="D29" s="124"/>
      <c r="E29" s="124"/>
      <c r="F29" s="125" t="s">
        <v>18</v>
      </c>
      <c r="G29" s="126" t="s">
        <v>18</v>
      </c>
      <c r="H29" s="127" t="s">
        <v>18</v>
      </c>
      <c r="I29" s="128" t="s">
        <v>14</v>
      </c>
      <c r="J29" s="125" t="s">
        <v>14</v>
      </c>
      <c r="K29" s="129" t="s">
        <v>14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"/>
      <c r="AB29" s="1"/>
      <c r="AC29" s="1"/>
      <c r="AD29" s="1"/>
      <c r="AE29" s="1">
        <f>SUM(AA30:AD30)</f>
        <v>0</v>
      </c>
      <c r="AF29" s="1">
        <f>IF(AND(AE29=4,AF30=0,AG30=0),-1,0)</f>
        <v>0</v>
      </c>
      <c r="AG29" s="1"/>
      <c r="AH29" s="26"/>
      <c r="AI29" s="27"/>
      <c r="AJ29" s="27"/>
      <c r="AK29" s="27"/>
      <c r="AL29" s="27"/>
      <c r="AM29" s="23"/>
      <c r="AN29" s="23"/>
      <c r="AO29" s="23"/>
      <c r="AP29" s="23"/>
      <c r="AR29" s="16"/>
      <c r="AS29" s="16"/>
    </row>
    <row r="30" spans="1:45" ht="17.25" customHeight="1" thickBot="1" x14ac:dyDescent="0.2">
      <c r="A30" s="47"/>
      <c r="B30" s="131"/>
      <c r="C30" s="114" t="s">
        <v>29</v>
      </c>
      <c r="D30" s="132"/>
      <c r="E30" s="132"/>
      <c r="F30" s="133" t="str">
        <f>IF(AE30=4,INT(AI30),"")</f>
        <v/>
      </c>
      <c r="G30" s="134" t="str">
        <f>IF(AE30=4,INT((AI30-F30)*60),"")</f>
        <v/>
      </c>
      <c r="H30" s="135" t="str">
        <f>IF(AE30=4,(AI30-F30-G30/60)*3600,"")</f>
        <v/>
      </c>
      <c r="I30" s="136" t="str">
        <f>IF(AE30=4,SQRT(AF30^2+AG30^2),"")</f>
        <v/>
      </c>
      <c r="J30" s="137" t="str">
        <f>IF(AE30=4,AO30,"")</f>
        <v/>
      </c>
      <c r="K30" s="138" t="str">
        <f>IF(AE30=4,AP30,"")</f>
        <v/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24">
        <f>IF(D29&lt;&gt;"",1,0)</f>
        <v>0</v>
      </c>
      <c r="AB30" s="24">
        <f>IF(E29&lt;&gt;"",1,0)</f>
        <v>0</v>
      </c>
      <c r="AC30" s="24">
        <f>IF(D30&lt;&gt;"",1,0)</f>
        <v>0</v>
      </c>
      <c r="AD30" s="24">
        <f>IF(E30&lt;&gt;"",1,0)</f>
        <v>0</v>
      </c>
      <c r="AE30" s="24">
        <f>$AE$6*AA30*AB30*AC30*AD30+AF29+AL30</f>
        <v>0</v>
      </c>
      <c r="AF30" s="25">
        <f>D30-D29</f>
        <v>0</v>
      </c>
      <c r="AG30" s="25">
        <f>E30-E29</f>
        <v>0</v>
      </c>
      <c r="AH30" s="1">
        <f>IF(AND(AE29=4,AF29=0),ATAN2(AF30,AG30)*180/PI(),0)</f>
        <v>0</v>
      </c>
      <c r="AI30" s="1">
        <f>IF(0&gt;=AH30,AH30+360,AH30)</f>
        <v>360</v>
      </c>
      <c r="AJ30" s="27">
        <f>ROUND(AI30,5)</f>
        <v>360</v>
      </c>
      <c r="AK30" s="1">
        <f>ABS($AB$9-AJ30)</f>
        <v>215.63792000000001</v>
      </c>
      <c r="AL30" s="1">
        <f>IF(OR(AK30=0,AK30=180),-1,0)</f>
        <v>0</v>
      </c>
      <c r="AM30" s="7">
        <f>TAN(AI30*PI()/180)</f>
        <v>-2.45029690981724E-16</v>
      </c>
      <c r="AN30" s="23">
        <f>AM30-$AF$8</f>
        <v>0.71693121693172557</v>
      </c>
      <c r="AO30" s="23">
        <f>IF(OR($AB$8=90,$AB$8=270),$D$6,IF(OR(AI30=0,AI30=360,AI30=180),D29,(AM30*D29-$AF$8*$D$6+$E$6-E29)/AN30))</f>
        <v>0</v>
      </c>
      <c r="AP30" s="23">
        <f>IF(OR($AB$8=90,$AB$8=270),AM30*(AO30-D29)+E29,$AF$8*(AO30-$D$6)+$E$6)</f>
        <v>111469.63343130602</v>
      </c>
      <c r="AR30" s="16"/>
      <c r="AS30" s="16"/>
    </row>
    <row r="31" spans="1:45" ht="17.25" customHeight="1" x14ac:dyDescent="0.15">
      <c r="B31" s="32"/>
      <c r="C31" s="33"/>
      <c r="D31" s="33"/>
      <c r="E31" s="33"/>
      <c r="F31" s="45"/>
      <c r="G31" s="45"/>
      <c r="H31" s="45"/>
      <c r="I31" s="33"/>
      <c r="J31" s="33"/>
      <c r="K31" s="34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F31" s="23"/>
      <c r="AG31" s="23"/>
      <c r="AH31" s="23"/>
      <c r="AI31" s="23"/>
      <c r="AJ31" s="23"/>
      <c r="AK31" s="23"/>
      <c r="AL31" s="23"/>
      <c r="AM31" s="23"/>
      <c r="AN31" s="23"/>
      <c r="AR31" s="16"/>
      <c r="AS31" s="16"/>
    </row>
    <row r="32" spans="1:45" ht="17.25" customHeight="1" x14ac:dyDescent="0.15">
      <c r="B32" s="35"/>
      <c r="C32" s="31"/>
      <c r="D32" s="31"/>
      <c r="E32" s="31"/>
      <c r="F32" s="43"/>
      <c r="G32" s="43"/>
      <c r="H32" s="43"/>
      <c r="I32" s="31"/>
      <c r="J32" s="31" t="s">
        <v>13</v>
      </c>
      <c r="K32" s="3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F32" s="23"/>
      <c r="AG32" s="23"/>
      <c r="AH32" s="23"/>
      <c r="AI32" s="23"/>
      <c r="AJ32" s="23"/>
      <c r="AK32" s="23"/>
      <c r="AL32" s="23"/>
      <c r="AM32" s="23"/>
      <c r="AN32" s="23"/>
      <c r="AR32" s="16"/>
      <c r="AS32" s="16"/>
    </row>
    <row r="33" spans="2:45" ht="17.25" customHeight="1" x14ac:dyDescent="0.15">
      <c r="B33" s="35"/>
      <c r="C33" s="31"/>
      <c r="D33" s="31"/>
      <c r="E33" s="31"/>
      <c r="F33" s="46" t="s">
        <v>35</v>
      </c>
      <c r="G33" s="46"/>
      <c r="H33" s="46"/>
      <c r="I33" s="31"/>
      <c r="J33" s="31"/>
      <c r="K33" s="3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F33" s="23"/>
      <c r="AG33" s="23"/>
      <c r="AH33" s="23"/>
      <c r="AI33" s="23"/>
      <c r="AJ33" s="23"/>
      <c r="AK33" s="23"/>
      <c r="AL33" s="23"/>
      <c r="AM33" s="23"/>
      <c r="AN33" s="23"/>
      <c r="AR33" s="16"/>
      <c r="AS33" s="16"/>
    </row>
    <row r="34" spans="2:45" ht="17.25" customHeight="1" x14ac:dyDescent="0.15">
      <c r="B34" s="35"/>
      <c r="C34" s="31"/>
      <c r="D34" s="31"/>
      <c r="E34" s="31"/>
      <c r="F34" s="43"/>
      <c r="G34" s="43"/>
      <c r="H34" s="43"/>
      <c r="I34" s="31"/>
      <c r="J34" s="31"/>
      <c r="K34" s="36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F34" s="23"/>
      <c r="AG34" s="23"/>
      <c r="AH34" s="23"/>
      <c r="AI34" s="23"/>
      <c r="AJ34" s="23"/>
      <c r="AK34" s="23"/>
      <c r="AL34" s="23"/>
      <c r="AM34" s="23"/>
      <c r="AN34" s="23"/>
      <c r="AR34" s="16"/>
      <c r="AS34" s="16"/>
    </row>
    <row r="35" spans="2:45" ht="17.25" customHeight="1" x14ac:dyDescent="0.15">
      <c r="B35" s="35"/>
      <c r="C35" s="31"/>
      <c r="D35" s="31"/>
      <c r="E35" s="31"/>
      <c r="F35" s="43"/>
      <c r="G35" s="43"/>
      <c r="H35" s="43"/>
      <c r="I35" s="31"/>
      <c r="J35" s="31"/>
      <c r="K35" s="36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F35" s="23"/>
      <c r="AG35" s="23"/>
      <c r="AH35" s="23"/>
      <c r="AI35" s="23"/>
      <c r="AJ35" s="23"/>
      <c r="AK35" s="23"/>
      <c r="AL35" s="23"/>
      <c r="AM35" s="23"/>
      <c r="AN35" s="23"/>
      <c r="AR35" s="16"/>
      <c r="AS35" s="16"/>
    </row>
    <row r="36" spans="2:45" ht="17.25" customHeight="1" x14ac:dyDescent="0.15">
      <c r="B36" s="35"/>
      <c r="C36" s="31"/>
      <c r="D36" s="31"/>
      <c r="E36" s="31"/>
      <c r="F36" s="43" t="s">
        <v>30</v>
      </c>
      <c r="G36" s="43"/>
      <c r="H36" s="43"/>
      <c r="I36" s="31"/>
      <c r="J36" s="31"/>
      <c r="K36" s="36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F36" s="23"/>
      <c r="AG36" s="23"/>
      <c r="AH36" s="23"/>
      <c r="AI36" s="23"/>
      <c r="AJ36" s="23"/>
      <c r="AK36" s="23"/>
      <c r="AL36" s="23"/>
      <c r="AM36" s="23"/>
      <c r="AN36" s="23"/>
      <c r="AR36" s="16"/>
      <c r="AS36" s="16"/>
    </row>
    <row r="37" spans="2:45" ht="17.25" customHeight="1" x14ac:dyDescent="0.15">
      <c r="B37" s="35"/>
      <c r="C37" s="31"/>
      <c r="D37" s="31"/>
      <c r="E37" s="31"/>
      <c r="F37" s="43"/>
      <c r="G37" s="43"/>
      <c r="H37" s="43"/>
      <c r="I37" s="31"/>
      <c r="J37" s="31"/>
      <c r="K37" s="36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F37" s="23"/>
      <c r="AG37" s="23"/>
      <c r="AH37" s="23"/>
      <c r="AI37" s="23"/>
      <c r="AJ37" s="23"/>
      <c r="AK37" s="23"/>
      <c r="AL37" s="23"/>
      <c r="AM37" s="23"/>
      <c r="AN37" s="23"/>
      <c r="AR37" s="16"/>
      <c r="AS37" s="16"/>
    </row>
    <row r="38" spans="2:45" ht="17.25" customHeight="1" x14ac:dyDescent="0.15">
      <c r="B38" s="35"/>
      <c r="C38" s="31"/>
      <c r="D38" s="31"/>
      <c r="E38" s="31"/>
      <c r="F38" s="43" t="s">
        <v>34</v>
      </c>
      <c r="G38" s="43"/>
      <c r="H38" s="43"/>
      <c r="I38" s="31"/>
      <c r="J38" s="31"/>
      <c r="K38" s="3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F38" s="23"/>
      <c r="AG38" s="23"/>
      <c r="AH38" s="23"/>
      <c r="AI38" s="23"/>
      <c r="AJ38" s="23"/>
      <c r="AK38" s="23"/>
      <c r="AL38" s="23"/>
      <c r="AM38" s="23"/>
      <c r="AN38" s="23"/>
      <c r="AR38" s="16"/>
      <c r="AS38" s="16"/>
    </row>
    <row r="39" spans="2:45" ht="17.25" customHeight="1" x14ac:dyDescent="0.15">
      <c r="B39" s="35"/>
      <c r="C39" s="31"/>
      <c r="D39" s="31"/>
      <c r="E39" s="31"/>
      <c r="F39" s="43"/>
      <c r="G39" s="43"/>
      <c r="H39" s="43"/>
      <c r="I39" s="31"/>
      <c r="J39" s="31"/>
      <c r="K39" s="36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F39" s="23"/>
      <c r="AG39" s="23"/>
      <c r="AH39" s="23"/>
      <c r="AI39" s="23"/>
      <c r="AJ39" s="23"/>
      <c r="AK39" s="23"/>
      <c r="AL39" s="23"/>
      <c r="AM39" s="23"/>
      <c r="AN39" s="23"/>
      <c r="AR39" s="16"/>
      <c r="AS39" s="16"/>
    </row>
    <row r="40" spans="2:45" ht="17.25" customHeight="1" x14ac:dyDescent="0.15">
      <c r="B40" s="35"/>
      <c r="C40" s="31"/>
      <c r="D40" s="31" t="s">
        <v>32</v>
      </c>
      <c r="E40" s="31"/>
      <c r="F40" s="43"/>
      <c r="G40" s="43"/>
      <c r="H40" s="43"/>
      <c r="I40" s="31"/>
      <c r="J40" s="31" t="s">
        <v>36</v>
      </c>
      <c r="K40" s="36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F40" s="23"/>
      <c r="AG40" s="23"/>
      <c r="AH40" s="23"/>
      <c r="AI40" s="23"/>
      <c r="AJ40" s="23"/>
      <c r="AK40" s="23"/>
      <c r="AL40" s="23"/>
      <c r="AM40" s="23"/>
      <c r="AN40" s="23"/>
      <c r="AR40" s="16"/>
      <c r="AS40" s="16"/>
    </row>
    <row r="41" spans="2:45" ht="17.25" customHeight="1" x14ac:dyDescent="0.15">
      <c r="B41" s="35"/>
      <c r="C41" s="31"/>
      <c r="D41" s="31"/>
      <c r="E41" s="31"/>
      <c r="F41" s="43"/>
      <c r="G41" s="43"/>
      <c r="H41" s="43"/>
      <c r="I41" s="31"/>
      <c r="J41" s="31"/>
      <c r="K41" s="3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F41" s="23"/>
      <c r="AG41" s="23"/>
      <c r="AH41" s="23"/>
      <c r="AI41" s="23"/>
      <c r="AJ41" s="23"/>
      <c r="AK41" s="23"/>
      <c r="AL41" s="23"/>
      <c r="AM41" s="23"/>
      <c r="AN41" s="23"/>
      <c r="AR41" s="16"/>
      <c r="AS41" s="16"/>
    </row>
    <row r="42" spans="2:45" ht="17.25" customHeight="1" x14ac:dyDescent="0.15">
      <c r="B42" s="35"/>
      <c r="C42" s="31"/>
      <c r="D42" s="31"/>
      <c r="E42" s="31"/>
      <c r="F42" s="43"/>
      <c r="G42" s="43"/>
      <c r="H42" s="43"/>
      <c r="I42" s="31"/>
      <c r="J42" s="31" t="s">
        <v>33</v>
      </c>
      <c r="K42" s="36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F42" s="23"/>
      <c r="AG42" s="23"/>
      <c r="AH42" s="23"/>
      <c r="AI42" s="23"/>
      <c r="AJ42" s="23"/>
      <c r="AK42" s="23"/>
      <c r="AL42" s="23"/>
      <c r="AM42" s="23"/>
      <c r="AN42" s="23"/>
      <c r="AR42" s="16"/>
      <c r="AS42" s="16"/>
    </row>
    <row r="43" spans="2:45" ht="17.25" customHeight="1" x14ac:dyDescent="0.15">
      <c r="B43" s="35"/>
      <c r="C43" s="31"/>
      <c r="D43" s="31"/>
      <c r="E43" s="31"/>
      <c r="F43" s="43"/>
      <c r="G43" s="43"/>
      <c r="H43" s="43"/>
      <c r="I43" s="31"/>
      <c r="J43" s="31"/>
      <c r="K43" s="36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F43" s="23"/>
      <c r="AG43" s="23"/>
      <c r="AH43" s="23"/>
      <c r="AI43" s="23"/>
      <c r="AJ43" s="23"/>
      <c r="AK43" s="23"/>
      <c r="AL43" s="23"/>
      <c r="AM43" s="23"/>
      <c r="AN43" s="23"/>
      <c r="AR43" s="16"/>
      <c r="AS43" s="16"/>
    </row>
    <row r="44" spans="2:45" ht="17.25" customHeight="1" x14ac:dyDescent="0.15">
      <c r="B44" s="35"/>
      <c r="C44" s="31"/>
      <c r="D44" s="31"/>
      <c r="E44" s="31"/>
      <c r="F44" s="43"/>
      <c r="G44" s="43"/>
      <c r="H44" s="43"/>
      <c r="I44" s="31"/>
      <c r="J44" s="31"/>
      <c r="K44" s="3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F44" s="23"/>
      <c r="AG44" s="23"/>
      <c r="AH44" s="23"/>
      <c r="AI44" s="23"/>
      <c r="AJ44" s="23"/>
      <c r="AK44" s="23"/>
      <c r="AL44" s="23"/>
      <c r="AM44" s="23"/>
      <c r="AN44" s="23"/>
      <c r="AR44" s="16"/>
      <c r="AS44" s="16"/>
    </row>
    <row r="45" spans="2:45" ht="17.25" customHeight="1" thickBot="1" x14ac:dyDescent="0.2">
      <c r="B45" s="28"/>
      <c r="C45" s="29"/>
      <c r="D45" s="29"/>
      <c r="E45" s="29"/>
      <c r="F45" s="44"/>
      <c r="G45" s="44"/>
      <c r="H45" s="44"/>
      <c r="I45" s="29"/>
      <c r="J45" s="29"/>
      <c r="K45" s="30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F45" s="23"/>
      <c r="AG45" s="23"/>
      <c r="AH45" s="23"/>
      <c r="AI45" s="23"/>
      <c r="AJ45" s="23"/>
      <c r="AK45" s="23"/>
      <c r="AL45" s="23"/>
      <c r="AM45" s="23"/>
      <c r="AN45" s="23"/>
      <c r="AR45" s="16"/>
      <c r="AS45" s="16"/>
    </row>
    <row r="46" spans="2:45" ht="30.75" customHeight="1" thickTop="1" x14ac:dyDescent="0.15">
      <c r="D46" s="18"/>
      <c r="E46" s="16"/>
      <c r="F46" s="18"/>
      <c r="G46" s="19"/>
      <c r="H46" s="20"/>
      <c r="I46" s="16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2:45" x14ac:dyDescent="0.15">
      <c r="C47" s="40"/>
      <c r="D47" s="41"/>
    </row>
  </sheetData>
  <sheetProtection algorithmName="SHA-512" hashValue="IaTauSYdS6IYcRiR8LTFSOOHQeuHaJCHPhZEtX8Fw0UzIB6sQpBi/vdb27+uuZUNu7R3acLcXaVQuLQ/b8eVQg==" saltValue="OUy5P4xaYUbfDZJrestMTA==" spinCount="100000" sheet="1" objects="1" scenarios="1"/>
  <mergeCells count="48">
    <mergeCell ref="A25:A26"/>
    <mergeCell ref="B25:B26"/>
    <mergeCell ref="A27:A28"/>
    <mergeCell ref="B27:B28"/>
    <mergeCell ref="A29:A30"/>
    <mergeCell ref="B29:B30"/>
    <mergeCell ref="B11:B12"/>
    <mergeCell ref="B13:B14"/>
    <mergeCell ref="A11:A12"/>
    <mergeCell ref="A13:A14"/>
    <mergeCell ref="A23:A24"/>
    <mergeCell ref="B23:B24"/>
    <mergeCell ref="D2:J2"/>
    <mergeCell ref="B3:C3"/>
    <mergeCell ref="D3:K3"/>
    <mergeCell ref="B4:C5"/>
    <mergeCell ref="D4:E4"/>
    <mergeCell ref="F4:H4"/>
    <mergeCell ref="I4:I5"/>
    <mergeCell ref="B9:C10"/>
    <mergeCell ref="D9:E9"/>
    <mergeCell ref="D8:E8"/>
    <mergeCell ref="J9:K9"/>
    <mergeCell ref="F9:H9"/>
    <mergeCell ref="I9:I10"/>
    <mergeCell ref="A19:A20"/>
    <mergeCell ref="B19:B20"/>
    <mergeCell ref="A21:A22"/>
    <mergeCell ref="B21:B22"/>
    <mergeCell ref="A15:A16"/>
    <mergeCell ref="B15:B16"/>
    <mergeCell ref="A17:A18"/>
    <mergeCell ref="B17:B18"/>
    <mergeCell ref="F35:H35"/>
    <mergeCell ref="F36:H36"/>
    <mergeCell ref="F37:H37"/>
    <mergeCell ref="F38:H38"/>
    <mergeCell ref="F31:H31"/>
    <mergeCell ref="F32:H32"/>
    <mergeCell ref="F33:H33"/>
    <mergeCell ref="F34:H34"/>
    <mergeCell ref="F39:H39"/>
    <mergeCell ref="F40:H40"/>
    <mergeCell ref="F45:H45"/>
    <mergeCell ref="F41:H41"/>
    <mergeCell ref="F42:H42"/>
    <mergeCell ref="F43:H43"/>
    <mergeCell ref="F44:H44"/>
  </mergeCells>
  <phoneticPr fontId="1"/>
  <pageMargins left="0.31496062992125984" right="0.19685039370078741" top="0.78740157480314965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&amp;C&lt; &amp;P &gt;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交点(直-直)</vt:lpstr>
      <vt:lpstr>'交点(直-直)'!Print_Area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千葉昌宏</dc:creator>
  <cp:lastModifiedBy>千葉昌宏</cp:lastModifiedBy>
  <cp:lastPrinted>2021-01-26T13:11:34Z</cp:lastPrinted>
  <dcterms:created xsi:type="dcterms:W3CDTF">1997-01-08T22:48:59Z</dcterms:created>
  <dcterms:modified xsi:type="dcterms:W3CDTF">2021-01-26T13:12:45Z</dcterms:modified>
</cp:coreProperties>
</file>